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AppData\Local\Temp\Rar$DIa2772.16798\"/>
    </mc:Choice>
  </mc:AlternateContent>
  <xr:revisionPtr revIDLastSave="0" documentId="13_ncr:1_{DA79F7B4-73A0-407A-8CBB-53BBA33AF9BE}" xr6:coauthVersionLast="47" xr6:coauthVersionMax="47" xr10:uidLastSave="{00000000-0000-0000-0000-000000000000}"/>
  <bookViews>
    <workbookView xWindow="-120" yWindow="-120" windowWidth="29040" windowHeight="15840" tabRatio="832" xr2:uid="{A0CB0121-BA88-4E23-BEAA-38F5F96E3EBE}"/>
  </bookViews>
  <sheets>
    <sheet name="PLANILHA ORÇAMENTARIA" sheetId="2" r:id="rId1"/>
    <sheet name="CRONOGRAMA FISICO FINANCEIRO" sheetId="13" r:id="rId2"/>
    <sheet name="COMPOSIÇAO DO BDI" sheetId="11" r:id="rId3"/>
    <sheet name="ENCARGOS SOCIAIS" sheetId="15" r:id="rId4"/>
    <sheet name="FORNECEDORES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4" i="13" l="1"/>
  <c r="F63" i="13"/>
  <c r="F88" i="13"/>
  <c r="F80" i="13"/>
  <c r="F72" i="13"/>
  <c r="F50" i="13"/>
  <c r="F37" i="13"/>
  <c r="F28" i="13"/>
  <c r="F16" i="13"/>
  <c r="C94" i="13"/>
  <c r="F91" i="13"/>
  <c r="F83" i="13"/>
  <c r="F75" i="13"/>
  <c r="F66" i="13"/>
  <c r="F53" i="13"/>
  <c r="F31" i="13"/>
  <c r="F19" i="13"/>
  <c r="F90" i="13"/>
  <c r="F82" i="13"/>
  <c r="F74" i="13"/>
  <c r="F65" i="13"/>
  <c r="F52" i="13"/>
  <c r="F30" i="13"/>
  <c r="F18" i="13"/>
  <c r="F89" i="13"/>
  <c r="F81" i="13"/>
  <c r="F73" i="13"/>
  <c r="F64" i="13"/>
  <c r="F51" i="13"/>
  <c r="F29" i="13"/>
  <c r="F17" i="13"/>
  <c r="E53" i="13"/>
  <c r="E52" i="13"/>
  <c r="E51" i="13"/>
  <c r="E50" i="13"/>
  <c r="E31" i="13"/>
  <c r="E30" i="13"/>
  <c r="E29" i="13"/>
  <c r="E28" i="13"/>
  <c r="J98" i="13"/>
  <c r="J99" i="13"/>
  <c r="J100" i="13"/>
  <c r="J97" i="13"/>
  <c r="J95" i="13"/>
  <c r="I95" i="13"/>
  <c r="I100" i="13"/>
  <c r="I99" i="13"/>
  <c r="I98" i="13"/>
  <c r="I97" i="13"/>
  <c r="H100" i="13"/>
  <c r="H99" i="13"/>
  <c r="H91" i="13"/>
  <c r="H90" i="13"/>
  <c r="H89" i="13"/>
  <c r="H98" i="13"/>
  <c r="H97" i="13"/>
  <c r="H88" i="13"/>
  <c r="G100" i="13"/>
  <c r="G91" i="13"/>
  <c r="G66" i="13"/>
  <c r="G65" i="13"/>
  <c r="G90" i="13"/>
  <c r="G99" i="13"/>
  <c r="G64" i="13"/>
  <c r="G89" i="13"/>
  <c r="G98" i="13"/>
  <c r="G63" i="13"/>
  <c r="G88" i="13"/>
  <c r="G97" i="13"/>
  <c r="F55" i="13"/>
  <c r="F39" i="13"/>
  <c r="F33" i="13"/>
  <c r="E55" i="13"/>
  <c r="E33" i="13"/>
  <c r="E21" i="13"/>
  <c r="C102" i="13"/>
  <c r="E19" i="13"/>
  <c r="E18" i="13"/>
  <c r="E17" i="13"/>
  <c r="E16" i="13"/>
  <c r="F76" i="13"/>
  <c r="F56" i="13"/>
  <c r="E22" i="13"/>
  <c r="C101" i="13"/>
  <c r="C100" i="13"/>
  <c r="C19" i="13"/>
  <c r="C99" i="13"/>
  <c r="C18" i="13"/>
  <c r="C98" i="13"/>
  <c r="C17" i="13"/>
  <c r="C97" i="13"/>
  <c r="C16" i="13"/>
  <c r="D19" i="13"/>
  <c r="D18" i="13"/>
  <c r="D17" i="13"/>
  <c r="D16" i="13"/>
  <c r="F213" i="2"/>
  <c r="F212" i="2"/>
  <c r="F211" i="2"/>
  <c r="F210" i="2"/>
  <c r="F209" i="2"/>
  <c r="F208" i="2"/>
  <c r="F207" i="2"/>
  <c r="G86" i="13"/>
  <c r="I192" i="2" l="1"/>
  <c r="J192" i="2" s="1"/>
  <c r="H192" i="2"/>
  <c r="I191" i="2"/>
  <c r="J191" i="2" s="1"/>
  <c r="H191" i="2"/>
  <c r="I189" i="2"/>
  <c r="J189" i="2" s="1"/>
  <c r="H189" i="2"/>
  <c r="I188" i="2"/>
  <c r="J188" i="2" s="1"/>
  <c r="H188" i="2"/>
  <c r="I187" i="2"/>
  <c r="J187" i="2" s="1"/>
  <c r="H187" i="2"/>
  <c r="I186" i="2"/>
  <c r="J186" i="2" s="1"/>
  <c r="H186" i="2"/>
  <c r="I185" i="2"/>
  <c r="J185" i="2" s="1"/>
  <c r="H185" i="2"/>
  <c r="I184" i="2"/>
  <c r="J184" i="2" s="1"/>
  <c r="H184" i="2"/>
  <c r="I183" i="2"/>
  <c r="J183" i="2" s="1"/>
  <c r="H183" i="2"/>
  <c r="I182" i="2"/>
  <c r="J182" i="2" s="1"/>
  <c r="H182" i="2"/>
  <c r="I181" i="2"/>
  <c r="J181" i="2" s="1"/>
  <c r="H181" i="2"/>
  <c r="I180" i="2"/>
  <c r="J180" i="2" s="1"/>
  <c r="H180" i="2"/>
  <c r="I179" i="2"/>
  <c r="J179" i="2" s="1"/>
  <c r="H179" i="2"/>
  <c r="I178" i="2"/>
  <c r="J178" i="2" s="1"/>
  <c r="H178" i="2"/>
  <c r="I177" i="2"/>
  <c r="J177" i="2" s="1"/>
  <c r="H177" i="2"/>
  <c r="I176" i="2"/>
  <c r="F176" i="2"/>
  <c r="H176" i="2" s="1"/>
  <c r="I174" i="2"/>
  <c r="J174" i="2" s="1"/>
  <c r="H174" i="2"/>
  <c r="I173" i="2"/>
  <c r="J173" i="2" s="1"/>
  <c r="H173" i="2"/>
  <c r="I172" i="2"/>
  <c r="J172" i="2" s="1"/>
  <c r="H172" i="2"/>
  <c r="I171" i="2"/>
  <c r="J171" i="2" s="1"/>
  <c r="H171" i="2"/>
  <c r="I170" i="2"/>
  <c r="J170" i="2" s="1"/>
  <c r="H170" i="2"/>
  <c r="I169" i="2"/>
  <c r="J169" i="2" s="1"/>
  <c r="H169" i="2"/>
  <c r="I168" i="2"/>
  <c r="J168" i="2" s="1"/>
  <c r="H168" i="2"/>
  <c r="I167" i="2"/>
  <c r="J167" i="2" s="1"/>
  <c r="H167" i="2"/>
  <c r="I166" i="2"/>
  <c r="J166" i="2" s="1"/>
  <c r="H166" i="2"/>
  <c r="I165" i="2"/>
  <c r="J165" i="2" s="1"/>
  <c r="H165" i="2"/>
  <c r="I164" i="2"/>
  <c r="J164" i="2" s="1"/>
  <c r="H164" i="2"/>
  <c r="I131" i="2"/>
  <c r="J131" i="2" s="1"/>
  <c r="H131" i="2"/>
  <c r="I124" i="2"/>
  <c r="J124" i="2" s="1"/>
  <c r="H124" i="2"/>
  <c r="I91" i="2"/>
  <c r="J91" i="2" s="1"/>
  <c r="H91" i="2"/>
  <c r="F40" i="2"/>
  <c r="F148" i="2"/>
  <c r="H148" i="2" s="1"/>
  <c r="I148" i="2"/>
  <c r="I147" i="2"/>
  <c r="J147" i="2" s="1"/>
  <c r="H147" i="2"/>
  <c r="I35" i="2"/>
  <c r="J35" i="2" s="1"/>
  <c r="H35" i="2"/>
  <c r="H34" i="2"/>
  <c r="I34" i="2"/>
  <c r="J34" i="2" s="1"/>
  <c r="J176" i="2" l="1"/>
  <c r="J148" i="2"/>
  <c r="C26" i="15"/>
  <c r="H22" i="2"/>
  <c r="I22" i="2"/>
  <c r="J22" i="2" s="1"/>
  <c r="C39" i="15"/>
  <c r="C34" i="15"/>
  <c r="C13" i="15"/>
  <c r="C41" i="15" l="1"/>
  <c r="I135" i="2" l="1"/>
  <c r="J135" i="2" s="1"/>
  <c r="H135" i="2"/>
  <c r="H212" i="2" l="1"/>
  <c r="I212" i="2"/>
  <c r="J212" i="2" s="1"/>
  <c r="H162" i="2"/>
  <c r="I162" i="2"/>
  <c r="J162" i="2" s="1"/>
  <c r="I77" i="2"/>
  <c r="J77" i="2" s="1"/>
  <c r="H77" i="2"/>
  <c r="H85" i="2" l="1"/>
  <c r="I85" i="2"/>
  <c r="J85" i="2" s="1"/>
  <c r="H84" i="2"/>
  <c r="I84" i="2"/>
  <c r="J84" i="2" s="1"/>
  <c r="H83" i="2"/>
  <c r="I83" i="2"/>
  <c r="J83" i="2" s="1"/>
  <c r="I79" i="2"/>
  <c r="J79" i="2" s="1"/>
  <c r="I80" i="2"/>
  <c r="J80" i="2" s="1"/>
  <c r="I81" i="2"/>
  <c r="J81" i="2" s="1"/>
  <c r="I82" i="2"/>
  <c r="J82" i="2" s="1"/>
  <c r="H79" i="2"/>
  <c r="H80" i="2"/>
  <c r="H81" i="2"/>
  <c r="H82" i="2"/>
  <c r="I78" i="2"/>
  <c r="J78" i="2" s="1"/>
  <c r="H78" i="2"/>
  <c r="I208" i="2" l="1"/>
  <c r="J208" i="2" s="1"/>
  <c r="I209" i="2"/>
  <c r="J209" i="2" s="1"/>
  <c r="I210" i="2"/>
  <c r="J210" i="2" s="1"/>
  <c r="H208" i="2"/>
  <c r="H209" i="2"/>
  <c r="H210" i="2"/>
  <c r="I207" i="2"/>
  <c r="J207" i="2" s="1"/>
  <c r="H207" i="2"/>
  <c r="I211" i="2"/>
  <c r="J211" i="2" s="1"/>
  <c r="H211" i="2"/>
  <c r="E54" i="13" l="1"/>
  <c r="E32" i="13"/>
  <c r="F38" i="13"/>
  <c r="F32" i="13"/>
  <c r="E20" i="13"/>
  <c r="F54" i="13"/>
  <c r="I160" i="2"/>
  <c r="J160" i="2" s="1"/>
  <c r="H160" i="2"/>
  <c r="F68" i="13"/>
  <c r="F60" i="13"/>
  <c r="I122" i="2"/>
  <c r="J122" i="2" s="1"/>
  <c r="G59" i="13" s="1"/>
  <c r="H122" i="2"/>
  <c r="I120" i="2"/>
  <c r="J120" i="2" s="1"/>
  <c r="H120" i="2"/>
  <c r="I110" i="2" l="1"/>
  <c r="J110" i="2" s="1"/>
  <c r="F46" i="13" s="1"/>
  <c r="H110" i="2"/>
  <c r="I108" i="2"/>
  <c r="J108" i="2" s="1"/>
  <c r="H108" i="2"/>
  <c r="I107" i="2"/>
  <c r="J107" i="2" s="1"/>
  <c r="H107" i="2"/>
  <c r="H103" i="2"/>
  <c r="I103" i="2"/>
  <c r="J103" i="2" s="1"/>
  <c r="F43" i="13" s="1"/>
  <c r="I114" i="2"/>
  <c r="J114" i="2" s="1"/>
  <c r="H114" i="2"/>
  <c r="I112" i="2"/>
  <c r="J112" i="2" s="1"/>
  <c r="F47" i="13" s="1"/>
  <c r="H112" i="2"/>
  <c r="I105" i="2"/>
  <c r="J105" i="2" s="1"/>
  <c r="E44" i="13" s="1"/>
  <c r="H105" i="2"/>
  <c r="H100" i="2"/>
  <c r="I100" i="2"/>
  <c r="J100" i="2" s="1"/>
  <c r="H98" i="2"/>
  <c r="I98" i="2"/>
  <c r="J98" i="2" s="1"/>
  <c r="H97" i="2"/>
  <c r="I97" i="2"/>
  <c r="J97" i="2" s="1"/>
  <c r="I102" i="2"/>
  <c r="J102" i="2" s="1"/>
  <c r="H102" i="2"/>
  <c r="H101" i="2"/>
  <c r="I101" i="2"/>
  <c r="J101" i="2" s="1"/>
  <c r="H99" i="2"/>
  <c r="I99" i="2"/>
  <c r="J99" i="2" s="1"/>
  <c r="H96" i="2"/>
  <c r="I96" i="2"/>
  <c r="J96" i="2" s="1"/>
  <c r="I95" i="2"/>
  <c r="J95" i="2" s="1"/>
  <c r="H95" i="2"/>
  <c r="I119" i="2"/>
  <c r="J119" i="2" s="1"/>
  <c r="H119" i="2"/>
  <c r="I118" i="2"/>
  <c r="H118" i="2"/>
  <c r="H65" i="2"/>
  <c r="I65" i="2"/>
  <c r="J65" i="2" s="1"/>
  <c r="H66" i="2"/>
  <c r="I66" i="2"/>
  <c r="J66" i="2" s="1"/>
  <c r="I68" i="2"/>
  <c r="J68" i="2" s="1"/>
  <c r="F26" i="13" s="1"/>
  <c r="H68" i="2"/>
  <c r="I64" i="2"/>
  <c r="J64" i="2" s="1"/>
  <c r="H64" i="2"/>
  <c r="H62" i="2"/>
  <c r="I62" i="2"/>
  <c r="J62" i="2" s="1"/>
  <c r="H61" i="2"/>
  <c r="I61" i="2"/>
  <c r="J61" i="2" s="1"/>
  <c r="I60" i="2"/>
  <c r="J60" i="2" s="1"/>
  <c r="H60" i="2"/>
  <c r="I59" i="2"/>
  <c r="J59" i="2" s="1"/>
  <c r="H59" i="2"/>
  <c r="I58" i="2"/>
  <c r="F58" i="2"/>
  <c r="I57" i="2"/>
  <c r="J57" i="2" s="1"/>
  <c r="H57" i="2"/>
  <c r="I52" i="2"/>
  <c r="J52" i="2" s="1"/>
  <c r="H52" i="2"/>
  <c r="I51" i="2"/>
  <c r="J51" i="2" s="1"/>
  <c r="H51" i="2"/>
  <c r="H49" i="2"/>
  <c r="I49" i="2"/>
  <c r="J49" i="2" s="1"/>
  <c r="H42" i="2"/>
  <c r="I42" i="2"/>
  <c r="J42" i="2" s="1"/>
  <c r="H41" i="2"/>
  <c r="I41" i="2"/>
  <c r="J41" i="2" s="1"/>
  <c r="I18" i="2"/>
  <c r="J18" i="2" s="1"/>
  <c r="H18" i="2"/>
  <c r="F48" i="13" l="1"/>
  <c r="F14" i="13"/>
  <c r="F25" i="13"/>
  <c r="E43" i="13"/>
  <c r="F45" i="13"/>
  <c r="J118" i="2"/>
  <c r="J58" i="2"/>
  <c r="J69" i="2" s="1"/>
  <c r="H58" i="2"/>
  <c r="E24" i="13" l="1"/>
  <c r="F24" i="13" s="1"/>
  <c r="G58" i="13"/>
  <c r="I204" i="2"/>
  <c r="J204" i="2" s="1"/>
  <c r="H204" i="2"/>
  <c r="I213" i="2" l="1"/>
  <c r="J213" i="2" s="1"/>
  <c r="H213" i="2"/>
  <c r="I201" i="2"/>
  <c r="J201" i="2" s="1"/>
  <c r="C106" i="13" s="1"/>
  <c r="H201" i="2"/>
  <c r="F37" i="2"/>
  <c r="I37" i="2"/>
  <c r="H14" i="2"/>
  <c r="I14" i="2"/>
  <c r="J14" i="2" s="1"/>
  <c r="H161" i="2"/>
  <c r="I194" i="2"/>
  <c r="J194" i="2" s="1"/>
  <c r="H194" i="2"/>
  <c r="I161" i="2"/>
  <c r="J161" i="2" s="1"/>
  <c r="H156" i="2"/>
  <c r="I156" i="2"/>
  <c r="J156" i="2" s="1"/>
  <c r="H157" i="2"/>
  <c r="I157" i="2"/>
  <c r="J157" i="2" s="1"/>
  <c r="H158" i="2"/>
  <c r="I158" i="2"/>
  <c r="J158" i="2" s="1"/>
  <c r="I198" i="2"/>
  <c r="J198" i="2" s="1"/>
  <c r="H198" i="2"/>
  <c r="I94" i="13" l="1"/>
  <c r="J205" i="2"/>
  <c r="J214" i="2"/>
  <c r="J37" i="2"/>
  <c r="H37" i="2"/>
  <c r="J110" i="13" l="1"/>
  <c r="I110" i="13"/>
  <c r="I145" i="2"/>
  <c r="J145" i="2" s="1"/>
  <c r="I149" i="2"/>
  <c r="J149" i="2" s="1"/>
  <c r="H86" i="13" s="1"/>
  <c r="I153" i="2"/>
  <c r="J153" i="2" s="1"/>
  <c r="I154" i="2"/>
  <c r="J154" i="2" s="1"/>
  <c r="J195" i="2" s="1"/>
  <c r="I155" i="2"/>
  <c r="J155" i="2" s="1"/>
  <c r="H145" i="2"/>
  <c r="H149" i="2"/>
  <c r="H153" i="2"/>
  <c r="H154" i="2"/>
  <c r="H155" i="2"/>
  <c r="I141" i="2"/>
  <c r="F141" i="2"/>
  <c r="H141" i="2" s="1"/>
  <c r="I140" i="2"/>
  <c r="J140" i="2" s="1"/>
  <c r="H140" i="2"/>
  <c r="I136" i="2"/>
  <c r="J136" i="2" s="1"/>
  <c r="F70" i="13" s="1"/>
  <c r="H136" i="2"/>
  <c r="I133" i="2"/>
  <c r="J133" i="2" s="1"/>
  <c r="H133" i="2"/>
  <c r="I126" i="2"/>
  <c r="J126" i="2" s="1"/>
  <c r="I127" i="2"/>
  <c r="J127" i="2" s="1"/>
  <c r="H126" i="2"/>
  <c r="H127" i="2"/>
  <c r="I89" i="2"/>
  <c r="J89" i="2" s="1"/>
  <c r="I90" i="2"/>
  <c r="J90" i="2" s="1"/>
  <c r="I92" i="2"/>
  <c r="J92" i="2" s="1"/>
  <c r="I93" i="2"/>
  <c r="J93" i="2" s="1"/>
  <c r="H89" i="2"/>
  <c r="H90" i="2"/>
  <c r="H92" i="2"/>
  <c r="H93" i="2"/>
  <c r="I86" i="2"/>
  <c r="J86" i="2" s="1"/>
  <c r="H86" i="2"/>
  <c r="I72" i="2"/>
  <c r="J72" i="2" s="1"/>
  <c r="H72" i="2"/>
  <c r="F85" i="13" l="1"/>
  <c r="J150" i="2"/>
  <c r="J128" i="2"/>
  <c r="G61" i="13"/>
  <c r="F42" i="13"/>
  <c r="J73" i="2"/>
  <c r="F35" i="13"/>
  <c r="G93" i="13"/>
  <c r="J115" i="2"/>
  <c r="E41" i="13"/>
  <c r="F69" i="13"/>
  <c r="J137" i="2"/>
  <c r="J141" i="2"/>
  <c r="J142" i="2" s="1"/>
  <c r="G110" i="13" l="1"/>
  <c r="H93" i="13"/>
  <c r="H110" i="13" s="1"/>
  <c r="F78" i="13"/>
  <c r="F110" i="13" s="1"/>
  <c r="I13" i="2"/>
  <c r="F13" i="2"/>
  <c r="H47" i="2"/>
  <c r="I46" i="2"/>
  <c r="J46" i="2" s="1"/>
  <c r="I47" i="2"/>
  <c r="H46" i="2"/>
  <c r="I43" i="2"/>
  <c r="J43" i="2" s="1"/>
  <c r="I48" i="2"/>
  <c r="J48" i="2" s="1"/>
  <c r="I44" i="2"/>
  <c r="J44" i="2" s="1"/>
  <c r="H43" i="2"/>
  <c r="H48" i="2"/>
  <c r="H44" i="2"/>
  <c r="F39" i="2"/>
  <c r="H39" i="2" s="1"/>
  <c r="F38" i="2"/>
  <c r="I38" i="2"/>
  <c r="I39" i="2"/>
  <c r="I32" i="2"/>
  <c r="J32" i="2" s="1"/>
  <c r="I33" i="2"/>
  <c r="J33" i="2" s="1"/>
  <c r="H32" i="2"/>
  <c r="H33" i="2"/>
  <c r="J13" i="2" l="1"/>
  <c r="H13" i="2"/>
  <c r="J47" i="2"/>
  <c r="J39" i="2"/>
  <c r="J38" i="2"/>
  <c r="H38" i="2"/>
  <c r="I11" i="2" l="1"/>
  <c r="J11" i="2" s="1"/>
  <c r="I12" i="2"/>
  <c r="J12" i="2" s="1"/>
  <c r="H11" i="2"/>
  <c r="H12" i="2"/>
  <c r="I10" i="2"/>
  <c r="H10" i="2"/>
  <c r="J10" i="2" l="1"/>
  <c r="I40" i="2"/>
  <c r="J40" i="2" s="1"/>
  <c r="I31" i="2"/>
  <c r="J31" i="2" s="1"/>
  <c r="I30" i="2"/>
  <c r="J30" i="2" s="1"/>
  <c r="I29" i="2"/>
  <c r="J29" i="2" s="1"/>
  <c r="I28" i="2"/>
  <c r="J28" i="2" s="1"/>
  <c r="I26" i="2"/>
  <c r="J26" i="2" s="1"/>
  <c r="I25" i="2"/>
  <c r="J25" i="2" s="1"/>
  <c r="I23" i="2"/>
  <c r="J23" i="2" s="1"/>
  <c r="J3" i="2" s="1"/>
  <c r="I21" i="2"/>
  <c r="J21" i="2" s="1"/>
  <c r="I19" i="2"/>
  <c r="J19" i="2" s="1"/>
  <c r="I17" i="2"/>
  <c r="J17" i="2" s="1"/>
  <c r="I16" i="2"/>
  <c r="J16" i="2" s="1"/>
  <c r="I9" i="2"/>
  <c r="J9" i="2" s="1"/>
  <c r="C8" i="13" l="1"/>
  <c r="J54" i="2"/>
  <c r="E13" i="13"/>
  <c r="E9" i="13"/>
  <c r="C11" i="13"/>
  <c r="C10" i="13"/>
  <c r="E12" i="13"/>
  <c r="C13" i="11"/>
  <c r="C8" i="11"/>
  <c r="C22" i="11" s="1"/>
  <c r="H9" i="2"/>
  <c r="E110" i="13" l="1"/>
  <c r="D8" i="13"/>
  <c r="D110" i="13" s="1"/>
  <c r="C110" i="13"/>
  <c r="H17" i="2"/>
  <c r="H19" i="2"/>
  <c r="H21" i="2"/>
  <c r="H23" i="2"/>
  <c r="H25" i="2"/>
  <c r="H26" i="2"/>
  <c r="H28" i="2"/>
  <c r="H29" i="2"/>
  <c r="H30" i="2"/>
  <c r="H31" i="2"/>
  <c r="H40" i="2"/>
  <c r="H16" i="2"/>
  <c r="C112" i="13" l="1"/>
  <c r="H3" i="2"/>
</calcChain>
</file>

<file path=xl/sharedStrings.xml><?xml version="1.0" encoding="utf-8"?>
<sst xmlns="http://schemas.openxmlformats.org/spreadsheetml/2006/main" count="1066" uniqueCount="556">
  <si>
    <t>Câmara Municipal de Pará de Minas</t>
  </si>
  <si>
    <t>PLANILHA ORÇAMENTARIA</t>
  </si>
  <si>
    <t>BDI incluso</t>
  </si>
  <si>
    <t>DESCRIÇÃO</t>
  </si>
  <si>
    <t>UNIDADE</t>
  </si>
  <si>
    <t>QUANT.</t>
  </si>
  <si>
    <t>PREÇO sem BDI</t>
  </si>
  <si>
    <t>PREÇO com BDI</t>
  </si>
  <si>
    <t>UNITÁRIO</t>
  </si>
  <si>
    <t>TOTAL</t>
  </si>
  <si>
    <t>Itens</t>
  </si>
  <si>
    <t>ITEM</t>
  </si>
  <si>
    <t>% CD</t>
  </si>
  <si>
    <t>Administração do Escritório Central</t>
  </si>
  <si>
    <t xml:space="preserve"> </t>
  </si>
  <si>
    <t>Impostos e Taxas</t>
  </si>
  <si>
    <t>2.1</t>
  </si>
  <si>
    <t>ISS</t>
  </si>
  <si>
    <t>2.2</t>
  </si>
  <si>
    <t>PIS</t>
  </si>
  <si>
    <t>2.3</t>
  </si>
  <si>
    <t>Cofins</t>
  </si>
  <si>
    <t>Taxa de Risco</t>
  </si>
  <si>
    <t>3.1</t>
  </si>
  <si>
    <t>Seguro</t>
  </si>
  <si>
    <t>3.2</t>
  </si>
  <si>
    <t>Risco</t>
  </si>
  <si>
    <t>Garantia</t>
  </si>
  <si>
    <t>Despesas Financeiras</t>
  </si>
  <si>
    <t>Lucro</t>
  </si>
  <si>
    <t>BDI - Calculado</t>
  </si>
  <si>
    <t>Para o preenchimento da proposta deve-se utilizar o valor de ISS da Prefeitura Local.</t>
  </si>
  <si>
    <t>6.3</t>
  </si>
  <si>
    <t>7.1</t>
  </si>
  <si>
    <t>8.1</t>
  </si>
  <si>
    <t>8.2</t>
  </si>
  <si>
    <t>9.1</t>
  </si>
  <si>
    <t>16ª ETAPA - OBRA</t>
  </si>
  <si>
    <t>GARAGEM</t>
  </si>
  <si>
    <t>ED- 50728</t>
  </si>
  <si>
    <t>Chapisco com argamassa, traço 1:3, aplicado nas lajes</t>
  </si>
  <si>
    <t>M²</t>
  </si>
  <si>
    <t>ED-50729</t>
  </si>
  <si>
    <t>Chapisco com argamassa, traço 1:3, aplicado nas vigas</t>
  </si>
  <si>
    <t>ED-50761</t>
  </si>
  <si>
    <t>Reboco com argamassa, traço 1:2:8 (cimento, cal e areia), esp. 20 mm, aplicado nas lajes</t>
  </si>
  <si>
    <t>Reboco com argamassa, traço 1:2:8 (cimento, cal e areia), esp. 20 mm, aplicado nas vigas</t>
  </si>
  <si>
    <t>1.1</t>
  </si>
  <si>
    <t>ACABAMENTO EM ÁREAS VERDES</t>
  </si>
  <si>
    <t>ED-51100</t>
  </si>
  <si>
    <t>Corte e desaterro para regularização e arrastamento nivelado a curta distância com lâmina</t>
  </si>
  <si>
    <t>M³</t>
  </si>
  <si>
    <t>1.2</t>
  </si>
  <si>
    <t>JUNTA DE MOVIMENTAÇÃO ESTRUTURAL</t>
  </si>
  <si>
    <t>M</t>
  </si>
  <si>
    <t>1.3</t>
  </si>
  <si>
    <t>VIGAS ESTRUTURAIS</t>
  </si>
  <si>
    <t>Pintura</t>
  </si>
  <si>
    <t>ED-51005</t>
  </si>
  <si>
    <t>1.5</t>
  </si>
  <si>
    <t>Unidade</t>
  </si>
  <si>
    <t>1.6</t>
  </si>
  <si>
    <t>Afixação de eletrocalhas galvanizadas eletrolítica chapa 14 - 100 x 50mm com tampa - para instalação elétricas</t>
  </si>
  <si>
    <t>Afixação de eletrocalha galvanizada eletrolítica chapa 14 - 100 x 50 mm com tampa - para rede de dados</t>
  </si>
  <si>
    <t>ESQUADRIAS</t>
  </si>
  <si>
    <t>INSTALAÇÕES ELÉTRICAS</t>
  </si>
  <si>
    <t>ED-48989</t>
  </si>
  <si>
    <t>ED-49228</t>
  </si>
  <si>
    <t>1.7</t>
  </si>
  <si>
    <t>PINTURA</t>
  </si>
  <si>
    <t>ED-50454</t>
  </si>
  <si>
    <t>ED-50453</t>
  </si>
  <si>
    <t>ED-50460</t>
  </si>
  <si>
    <t>Pintura acrílica para piso em faixa de delimitação de vagas, 2 demãos, faixa com largura de 5 cm</t>
  </si>
  <si>
    <t>1.8</t>
  </si>
  <si>
    <t>1.4</t>
  </si>
  <si>
    <t>SUBTOTAL</t>
  </si>
  <si>
    <t>ACABAMENTO EM VIGAS, LAJES, PILARES E PAREDES</t>
  </si>
  <si>
    <t>1.9</t>
  </si>
  <si>
    <t>Assentamento de piso tátil - tipo alerta - de concreto (25 x 25 cm) com junta seca, assentamento com argamassa industrializada</t>
  </si>
  <si>
    <t>Assentamento de piso tátil - tipo direcional - de concreto (25 x 25 cm) com junta seca, assentamento com argamassa industrializada</t>
  </si>
  <si>
    <t>ÁREA EXTERNA</t>
  </si>
  <si>
    <t>PINTURA FACHADAS</t>
  </si>
  <si>
    <t>2º PAVIMENTO</t>
  </si>
  <si>
    <t>4.1</t>
  </si>
  <si>
    <t>ED-51160</t>
  </si>
  <si>
    <t>4.2</t>
  </si>
  <si>
    <t>DRENO NAS MARQUISES</t>
  </si>
  <si>
    <t>4.3</t>
  </si>
  <si>
    <t>4.4</t>
  </si>
  <si>
    <t>ED-48986</t>
  </si>
  <si>
    <t>Cabo de cobre flexível, não halogenado, antichama, termofixo, unipolar, seção de 1,5mm - Vermelho - para as instalações elétricas da cobertura</t>
  </si>
  <si>
    <t>Cabo de cobre flexível, não halogenado, antichama, termofixo, unipolar, seção de 1,5mm - Azul - para as instalações elétricas da cobertura</t>
  </si>
  <si>
    <t>ED-49386</t>
  </si>
  <si>
    <t>Instalação de luminária de sobrepor, para 2 lâmpadas tubulares tipo LED 2x9W - ø T8 - para instalações elétrica da cobertura</t>
  </si>
  <si>
    <t>Disjuntor monopolar termomagnético - 10A - para instalações elétricas da cobertura</t>
  </si>
  <si>
    <t>3º PAVIMENTO</t>
  </si>
  <si>
    <t>5.1</t>
  </si>
  <si>
    <t>5.2</t>
  </si>
  <si>
    <t>5.3</t>
  </si>
  <si>
    <t>ACESSIBILIDADE</t>
  </si>
  <si>
    <t>4º PAVIMENTO</t>
  </si>
  <si>
    <t>6.1</t>
  </si>
  <si>
    <t>6.2</t>
  </si>
  <si>
    <t>Instalação de porta de visita, na junta de movimentação estrutural, em vidro temperado com película nas cores branco leitoso e preto (seguindo padrão CMPM), inclusive mão de obra</t>
  </si>
  <si>
    <t>ED-49346</t>
  </si>
  <si>
    <t>Instalação de sensor de presença na área de reprografia</t>
  </si>
  <si>
    <t>5º PAVIMENTO</t>
  </si>
  <si>
    <t>ED-50992</t>
  </si>
  <si>
    <t>Realizar calafetação nas esquadrias metálicas com silicone pastoso do tipo incolor</t>
  </si>
  <si>
    <t>CAIXA DE ESCADA</t>
  </si>
  <si>
    <t>Realizar calafetação nas esquadrias metálicas da escada de fundo com silicone pastoso do tipo incolor</t>
  </si>
  <si>
    <t xml:space="preserve">ITEM </t>
  </si>
  <si>
    <t>ATIVIDADE</t>
  </si>
  <si>
    <t>QUINZENA</t>
  </si>
  <si>
    <t>Acabamento em Vigas e Lajes</t>
  </si>
  <si>
    <t>Acabamento em áreas verdes</t>
  </si>
  <si>
    <t>Junta de movimentação estrutural</t>
  </si>
  <si>
    <t>Esquadrias</t>
  </si>
  <si>
    <t>Instalações elétricas</t>
  </si>
  <si>
    <t>2.4</t>
  </si>
  <si>
    <t>2.5</t>
  </si>
  <si>
    <t>3.3</t>
  </si>
  <si>
    <t>4.5</t>
  </si>
  <si>
    <t>Total Quinzenal</t>
  </si>
  <si>
    <t>Total Geral</t>
  </si>
  <si>
    <t>RETIRADA DE ENTULHO</t>
  </si>
  <si>
    <t>10.1</t>
  </si>
  <si>
    <t>Caçamba - 4m²</t>
  </si>
  <si>
    <t xml:space="preserve">ALUGUEL DA CAÇAMBA </t>
  </si>
  <si>
    <t xml:space="preserve"> ACESSIBILIDADE</t>
  </si>
  <si>
    <t>Instalação de revestimento resistente aos impactos nas portas - Chapa de inox 40x90cm</t>
  </si>
  <si>
    <t>Instalação de puxador horizontal em aço inox, na porta - dimensão mínima de 40cm com diâmetro entre 35mm e 25mm.</t>
  </si>
  <si>
    <t>BANHEIROS PNE</t>
  </si>
  <si>
    <t>Instalação de barra vertical próximo aos sanitários - 70cm de comprimento - Aço inox</t>
  </si>
  <si>
    <t>Substituição de barras horizontais próximo aos sanitários - 80cm de comprimento - Aço inox</t>
  </si>
  <si>
    <t>Instalação nas lateriais do lavatório, barra de apoio em "U" - 50cm de comprimento - Aço inox</t>
  </si>
  <si>
    <t>9.2</t>
  </si>
  <si>
    <t xml:space="preserve">PLENÁRIO </t>
  </si>
  <si>
    <t>11.1</t>
  </si>
  <si>
    <t>PLACA DE OBRA</t>
  </si>
  <si>
    <t>PLACA</t>
  </si>
  <si>
    <t>Fornecedor / Estabelecimento</t>
  </si>
  <si>
    <t>Telefone</t>
  </si>
  <si>
    <t>E-mail</t>
  </si>
  <si>
    <t>Serviço</t>
  </si>
  <si>
    <t>ArtMoldados</t>
  </si>
  <si>
    <t>(31) 3497-6166</t>
  </si>
  <si>
    <t>Piso Tátil</t>
  </si>
  <si>
    <t>Casa do Impermeabilizante - Belo Horizonte</t>
  </si>
  <si>
    <t>(31) 3411-6666</t>
  </si>
  <si>
    <t>Epóxi, PU, Groute, Tela de poliéster</t>
  </si>
  <si>
    <t>Casa e Tinta</t>
  </si>
  <si>
    <t>(31) 3272-1212</t>
  </si>
  <si>
    <t>Massas, tintas, selador pra parede</t>
  </si>
  <si>
    <t>Cimcal</t>
  </si>
  <si>
    <t>(37) 3232-2200</t>
  </si>
  <si>
    <t>Piso porcelanato</t>
  </si>
  <si>
    <t>CNR</t>
  </si>
  <si>
    <t>(31) 2537-2100</t>
  </si>
  <si>
    <t>Comap</t>
  </si>
  <si>
    <t>(37) 3231-8800</t>
  </si>
  <si>
    <t>Comap (André Henrique)</t>
  </si>
  <si>
    <t>(37) 99912-5104</t>
  </si>
  <si>
    <t>Cristal Vidros</t>
  </si>
  <si>
    <t>(37) 3231-2427</t>
  </si>
  <si>
    <t>cristalvidrospm@yahoo.com.br</t>
  </si>
  <si>
    <t>Esquadrias e fechamentos</t>
  </si>
  <si>
    <t>Depósito São Gerônimo</t>
  </si>
  <si>
    <t>(37) 3236-4600</t>
  </si>
  <si>
    <t>Tijolos, tinta esmalte, solventes</t>
  </si>
  <si>
    <t>Eletrofaria</t>
  </si>
  <si>
    <t>(37) 3232-3222</t>
  </si>
  <si>
    <t>Eletrotubos do Toninho</t>
  </si>
  <si>
    <t>(37) 3236-5688</t>
  </si>
  <si>
    <t>Ferpamil</t>
  </si>
  <si>
    <t>(37) 3232-2000</t>
  </si>
  <si>
    <t>Barras de aço</t>
  </si>
  <si>
    <t>Locpam</t>
  </si>
  <si>
    <t>(37) 3231-5225</t>
  </si>
  <si>
    <t>locpam@locpam.com.br</t>
  </si>
  <si>
    <t>Esquipamentos</t>
  </si>
  <si>
    <t>Loja do Paulo</t>
  </si>
  <si>
    <t>(31) 2111-8200</t>
  </si>
  <si>
    <t>Barra de apoio</t>
  </si>
  <si>
    <t>Macuco</t>
  </si>
  <si>
    <t>Material Elétrico</t>
  </si>
  <si>
    <t>Madereira Parajú</t>
  </si>
  <si>
    <t>(37) 3231-6491</t>
  </si>
  <si>
    <t>Barracão</t>
  </si>
  <si>
    <t>Marpetel</t>
  </si>
  <si>
    <t>(37) 3236-9090</t>
  </si>
  <si>
    <t>Granitos</t>
  </si>
  <si>
    <t>Minas Tintas</t>
  </si>
  <si>
    <t>(37) 3232-2625</t>
  </si>
  <si>
    <t>Tintas</t>
  </si>
  <si>
    <t>Mosaik Accessus</t>
  </si>
  <si>
    <t>(31) 3264-6075</t>
  </si>
  <si>
    <t>pisostateis@mosaik.com.br</t>
  </si>
  <si>
    <t>Piso Tátil do plenário</t>
  </si>
  <si>
    <t>Pamaco</t>
  </si>
  <si>
    <t>(37) 3232-3410</t>
  </si>
  <si>
    <t>Pará Parafusos</t>
  </si>
  <si>
    <t>(37) 3231-5334</t>
  </si>
  <si>
    <t>Parafusos e parabolt</t>
  </si>
  <si>
    <t>PO gesseiro</t>
  </si>
  <si>
    <t>(37) 99963-7072</t>
  </si>
  <si>
    <t>Divisória em Dry Wall</t>
  </si>
  <si>
    <t>Roma - pré moldados</t>
  </si>
  <si>
    <t>(31) 3144-0007</t>
  </si>
  <si>
    <t>Ladrilhos Hidráulicos e piso tatil</t>
  </si>
  <si>
    <t>Santa Cruz Acabamentos</t>
  </si>
  <si>
    <t>(31) 3415-6344</t>
  </si>
  <si>
    <t>Varejão das Tintas</t>
  </si>
  <si>
    <t>(31) 3272-2000</t>
  </si>
  <si>
    <t>Tinta vermelha</t>
  </si>
  <si>
    <t>Vitribox</t>
  </si>
  <si>
    <t>(37) 3236-4000</t>
  </si>
  <si>
    <t>Chico da caçamba</t>
  </si>
  <si>
    <t>(37) 3231-3926</t>
  </si>
  <si>
    <t>12.1</t>
  </si>
  <si>
    <t>ANDAIMES</t>
  </si>
  <si>
    <t>LOCAÇÃO</t>
  </si>
  <si>
    <t>9.3</t>
  </si>
  <si>
    <t>CENTRO CÍVICO - 5º ANDAR</t>
  </si>
  <si>
    <t>Engenheiro Civil - Acompanhamento diário na obra (média de duas horas por dia)</t>
  </si>
  <si>
    <t>KG</t>
  </si>
  <si>
    <t>ED-50505</t>
  </si>
  <si>
    <t>ED-50436</t>
  </si>
  <si>
    <t>ED-50449</t>
  </si>
  <si>
    <t xml:space="preserve">Seixos brancos </t>
  </si>
  <si>
    <t>ED-49604</t>
  </si>
  <si>
    <t>ED-50774</t>
  </si>
  <si>
    <t>ED-49387</t>
  </si>
  <si>
    <t>-</t>
  </si>
  <si>
    <t>Orçamento</t>
  </si>
  <si>
    <t>REFERÊNCIAS</t>
  </si>
  <si>
    <t>ED-50175</t>
  </si>
  <si>
    <t>ED-50496</t>
  </si>
  <si>
    <t>ED-50518</t>
  </si>
  <si>
    <t>Pintura em tubos  de acordo NBR-6493</t>
  </si>
  <si>
    <t>Lixamento manual dos tubos</t>
  </si>
  <si>
    <t>PISO E DEMARCAÇÃO</t>
  </si>
  <si>
    <t>ED-50459</t>
  </si>
  <si>
    <t>ED-50465</t>
  </si>
  <si>
    <t>Pintura  acrílica para demarcação de extintores e hidrantes, 2 demãos, cor amarelo e vermelho</t>
  </si>
  <si>
    <t>ED-15226</t>
  </si>
  <si>
    <t>ED-15227</t>
  </si>
  <si>
    <t>ENTRADA PRINCIPAL</t>
  </si>
  <si>
    <t>ED-48489</t>
  </si>
  <si>
    <t>ED-50165</t>
  </si>
  <si>
    <t>ED-49784</t>
  </si>
  <si>
    <t>DIVERSOS</t>
  </si>
  <si>
    <t>Abrigo para botijões, fechamento em grade - Tela galvanizada com 2 portas articuladas e fechamento de segurança</t>
  </si>
  <si>
    <t xml:space="preserve">Acabamento em toda extensão do passeio em concreto fck 15 mpa </t>
  </si>
  <si>
    <t>PISO</t>
  </si>
  <si>
    <t>Bicicletário de chão - 4 vagas - Tubo galvanizado - Cor preta - Fixado no chão</t>
  </si>
  <si>
    <t>ED-50437</t>
  </si>
  <si>
    <t xml:space="preserve">Assentamento de grama - Grama esmeralda em placas, inclusive terra vegetal </t>
  </si>
  <si>
    <t>ED-48203</t>
  </si>
  <si>
    <t>Pintura acrílica para piso em passeio / superfície cimentada - 2 demãos - Rampa de acessibilidade - Cor azul</t>
  </si>
  <si>
    <t>Instalação de grade em hidrômetro - Tela galvanizada - Cor branca</t>
  </si>
  <si>
    <t>ED-50497</t>
  </si>
  <si>
    <t>Lixamento manual - Hidrante de recalque</t>
  </si>
  <si>
    <t>Pintura  esmalte em superfície metálica - 2 demãos e 1 demão de anticorrosivo - Hidrante de recalque - Cor vermelha</t>
  </si>
  <si>
    <t>Argamassa contrapiso autonivelante com i=5%</t>
  </si>
  <si>
    <t>Demolição das rampas da entrada pincipal - Av. Presidente Vargas</t>
  </si>
  <si>
    <t>RO-41599</t>
  </si>
  <si>
    <t>Contrução de rampa para acesso de PNE - Concreto simples fck 25 mpa</t>
  </si>
  <si>
    <t>ED-51148</t>
  </si>
  <si>
    <t>ED-48480</t>
  </si>
  <si>
    <t>5.4</t>
  </si>
  <si>
    <t>5.5</t>
  </si>
  <si>
    <t>Instalação de perfil de alumínio tipo "L", nas bordas laterais da rampa</t>
  </si>
  <si>
    <t>ED-50721</t>
  </si>
  <si>
    <t>ED-50265</t>
  </si>
  <si>
    <t>Calafetação dos chapuzes com Poliuretano tipo 36 nas juntas</t>
  </si>
  <si>
    <t>Tratamento de fissuras no muro - Instalação de tela de poliéster</t>
  </si>
  <si>
    <t>ED-50236</t>
  </si>
  <si>
    <t>Lixamento manual  em parede</t>
  </si>
  <si>
    <t>ED-48501</t>
  </si>
  <si>
    <t>Demolição de reboco</t>
  </si>
  <si>
    <t>Reboco com argamassa, traço 1:2:8 (cimento, cal e areia), esp. 20 mm, aplicado na parede</t>
  </si>
  <si>
    <t>Aplicação de Impermeabilizante na parede</t>
  </si>
  <si>
    <t>4.6</t>
  </si>
  <si>
    <t>INSTALAÇÕES ELÉTRICAS - RAMPA DE ACESSIBILIDADE</t>
  </si>
  <si>
    <t>DIVERSOS - RAMPA DE ACESSIBILIDADE</t>
  </si>
  <si>
    <t>PINTURA - RAMPA DE ACESSIBILIDADE</t>
  </si>
  <si>
    <t>COBERTURA - RAMPA DE ACESSIBILIDADE</t>
  </si>
  <si>
    <t>ED-50936</t>
  </si>
  <si>
    <t>PISO - RAMPA DE ACESSIBILIDADE</t>
  </si>
  <si>
    <t>ED-50623</t>
  </si>
  <si>
    <t>Assentamento de piso tátil de borracha,  tipo alerta (25x25cm) - Cor vermelha (Padrão CMPM) - Assentamento com cola de contato, inclusive fornecimento e instalação</t>
  </si>
  <si>
    <t>Assentamento de piso tátil de borracha,  tipo direcional (25x25cm) - Cor preta (Padrão CMPM) - Assentamento com cola de contato, inclusive fornecimento e instalação</t>
  </si>
  <si>
    <t>ESCADA SOCIAL</t>
  </si>
  <si>
    <t>Guarda-corpo em aço inox e vidro ( Padrão CMPM)</t>
  </si>
  <si>
    <t>ED-50944</t>
  </si>
  <si>
    <t>ED-50939</t>
  </si>
  <si>
    <t>Instalação de luminária de sobrepor, para 4 lâmpadas tubulares (Padrão CMPM) -  salas de depósitos</t>
  </si>
  <si>
    <t>Disjuntor monopolar termomagnético - 10 A -  para as tomadas da salas de depósitos</t>
  </si>
  <si>
    <t>Cabo de cobre flexível, não halogenado, antichama, termofixo, unipolar, seção de 2,5 mm² - Verde - ligação elétrica da salas de depósitos</t>
  </si>
  <si>
    <t>Cabo de cobre flexível, não halogenado, antichama, termofixo, unipolar, seção de 2,5 mm² - Azul - ligação elétrica da salas de depósitos</t>
  </si>
  <si>
    <t>Cabo de cobre flexível, não halogenado, antichama, termofixo, unipolar, seção de 2,5 mm² - Vermelho - ligação elétrica da salas de depósitos</t>
  </si>
  <si>
    <t>Adesivo S.I.A - Demarcação no piso de áreas de espera para acomodações de cadeira de rodas nos locais de atendimento ao público - Dimensão 120x80cm</t>
  </si>
  <si>
    <t>Substituição de portas de vidro, por portas de madeira lisa, na cor branco neve - Inclusive ferragens e maçaneta do tipo alavanca</t>
  </si>
  <si>
    <t>ED-48163</t>
  </si>
  <si>
    <t>ED-48164</t>
  </si>
  <si>
    <t>ED-48160</t>
  </si>
  <si>
    <t>ED-48167</t>
  </si>
  <si>
    <t>Piso tátil no plenário superior - elemento solto de inox com núcleo vermelho, afixação em carpete do plenário - Instalação de piso tátil alerta/direcional, tipo elemento solto, 25 x 25, fixação com soldafix, considerando produtividade de 15 metros por dia (Padrão CMPM)</t>
  </si>
  <si>
    <t>ED-9076</t>
  </si>
  <si>
    <t>Fornecimento de andaime metálico tubular - Locação</t>
  </si>
  <si>
    <t>M/mês</t>
  </si>
  <si>
    <t>Encarregado geral de obras ou Mestre de Obras</t>
  </si>
  <si>
    <t>Pedreiro</t>
  </si>
  <si>
    <t>Servente</t>
  </si>
  <si>
    <t>Pintor</t>
  </si>
  <si>
    <t>ED-4164</t>
  </si>
  <si>
    <t>HH</t>
  </si>
  <si>
    <t>Execução de cobertura - Mão de Obra</t>
  </si>
  <si>
    <t>Thinner 10L</t>
  </si>
  <si>
    <t>Disco de corte 4 1/2</t>
  </si>
  <si>
    <t xml:space="preserve">Eletrodo 6013 x 3,25 </t>
  </si>
  <si>
    <t>Disco de desbaste 4 1/2</t>
  </si>
  <si>
    <t>Ferro liso de 1/2</t>
  </si>
  <si>
    <t>Pacote de estopa</t>
  </si>
  <si>
    <t>Pct</t>
  </si>
  <si>
    <t>Cola de concreto</t>
  </si>
  <si>
    <t xml:space="preserve">Metalon 80x80mm - chapa 14 </t>
  </si>
  <si>
    <t>Fornecimento e instalação de cobertura em vidro temperado incolor, com película protetora, esp. 10 mm, inclusive fixação, vedação com guarnição/gaxeta de borracha neopreme e caixilho/perfil</t>
  </si>
  <si>
    <t>MÃO DE OBRA DIRETA E ADMINISTRAÇÃO LOCAL</t>
  </si>
  <si>
    <t>_</t>
  </si>
  <si>
    <t>Und</t>
  </si>
  <si>
    <t xml:space="preserve"> Tinta para carpete - Demarcação no piso nas áreas destinadas para acomodações de cadeira de rodas no Plenário - Dimensão 120x80cm - Com molde SAI - Cor Branca</t>
  </si>
  <si>
    <t>Eletricista</t>
  </si>
  <si>
    <t>ED-50373</t>
  </si>
  <si>
    <t>ED-50381</t>
  </si>
  <si>
    <t>ED-50382</t>
  </si>
  <si>
    <t>ED-50367</t>
  </si>
  <si>
    <t>ED-50365</t>
  </si>
  <si>
    <t>Ajudante de pintor</t>
  </si>
  <si>
    <t>Reconstituição com lixamento das vigas e lajes</t>
  </si>
  <si>
    <t>Fornecimento de Palmeira Areca</t>
  </si>
  <si>
    <t>Assentamento de chapuzes com Granito São Gabriel, esp. 2,5cm nas vigas com argamassa no traço 1:4</t>
  </si>
  <si>
    <t>Aplicação de impermeabilizante nos muros de divisa e arrimos</t>
  </si>
  <si>
    <t xml:space="preserve">Pintura  acrílica para piso em toda extensão da garagem, 2 demãos, cor concreto </t>
  </si>
  <si>
    <t>Pintura com tinta a base de borracha - Demarcação no piso, entrada, saída e setas - Cor amarela</t>
  </si>
  <si>
    <t>Acabamento no entorno do jardim com bloco em concreto celular - Esp.: 7,5cm a 10cm</t>
  </si>
  <si>
    <t>Demolição das rampas entre a esquina Rua Alemanha e Rua Orlando Maurício dos Santos, remoção de todo piso existente</t>
  </si>
  <si>
    <t>Pintura acrílica em parede, 3 demãos, inclusive selador acrílico e massa corrida (PVA) - Cor cinza (Padrão CMPM)</t>
  </si>
  <si>
    <t>Instalação de placa de sinalização de atendimento preferencial</t>
  </si>
  <si>
    <t>Instalação de porta de visita, na junta de movimentação estrutural, em vidro temperado com película nas cores branco leitoso e preto (Padrão CMPM), inclusive mão de obra</t>
  </si>
  <si>
    <t>Assentamento de piso tátil de borracha,  tipo direcional/alerta (25x25cm) - Cor preta e vermelha (Padrão CMPM) - Assentamento com cola de contato, inclusive fornecimento e instalação</t>
  </si>
  <si>
    <t>Instalação de protetor de quina e cantoneiras para coluna da garagem</t>
  </si>
  <si>
    <t>Assentamento dos rodapés nos pilares, com altura de 10 cm, em Granito Preto São Gabriel, utilizando argamassa ACIII</t>
  </si>
  <si>
    <t xml:space="preserve">Assentamento de Grama São Carlos em placas, inclusive terra vegetal </t>
  </si>
  <si>
    <t>Pintura acrílica na cor branco neve acetinada (padrão CMPM) aplicada em três demãos, com prévia aplicação de selador acrílico, em uma demão - Área externa da caixa de escada central da garagem, caixa de elevador de emergência da garagem, frente dos Elevadores B.</t>
  </si>
  <si>
    <t>Pintura acrílica em lajes, 3 demãos, inclusive selador acrílico e massa corrida (PVA)</t>
  </si>
  <si>
    <t>Pintura acrílica em vigas, 3 demãos, inclusive selador acrílico e massa corrida (PVA)</t>
  </si>
  <si>
    <t>Pintura acrílica em pilares, 3 demãos, inclusive selador acrílico e massa corrida (PVA) -   sinalização de segurança ( tinta preta e amarela) h= 1,50m e tinta branco neve</t>
  </si>
  <si>
    <t>Desenho do símbolo S.I.A.</t>
  </si>
  <si>
    <t>Pintura acrílica na cor tinta branco neve acetinada (padrão CMPM) aplicada em três demãos, com prévia aplicação de selador acrílico, em uma demão - Fachada posterior - Muro da rua Alemanha</t>
  </si>
  <si>
    <t>Limpeza de parede com hidrojateamento</t>
  </si>
  <si>
    <t>CRONOGRAMA FÍSICO-FINANCEIRO - 16ª ETAPA</t>
  </si>
  <si>
    <t>Instalação de luminária de sobrepor, para 2 lâmpadas tubulares tipo LED 2x9W - ø T8 - para instalações elétrica da cobertura (Padrão CMPM) -  Área de reprografia</t>
  </si>
  <si>
    <t>4.7</t>
  </si>
  <si>
    <t>4.8</t>
  </si>
  <si>
    <t>Vigas Estruturais</t>
  </si>
  <si>
    <t>Diversos</t>
  </si>
  <si>
    <t>Piso</t>
  </si>
  <si>
    <t>Pintura Fachada</t>
  </si>
  <si>
    <t>Cobertura</t>
  </si>
  <si>
    <t>Instalações Elétricas</t>
  </si>
  <si>
    <t>Escada Social</t>
  </si>
  <si>
    <t>Dreno nas marquises</t>
  </si>
  <si>
    <t>Entrada Principal</t>
  </si>
  <si>
    <t>Acessibilidade</t>
  </si>
  <si>
    <t>Dreno marquises</t>
  </si>
  <si>
    <t>Instalação elétrica</t>
  </si>
  <si>
    <t>Banheiros</t>
  </si>
  <si>
    <t>Plenário</t>
  </si>
  <si>
    <t>Centro Cívico</t>
  </si>
  <si>
    <t>Caçamba</t>
  </si>
  <si>
    <t>Locação</t>
  </si>
  <si>
    <t xml:space="preserve">% </t>
  </si>
  <si>
    <t>GRUPO A</t>
  </si>
  <si>
    <t>INSS</t>
  </si>
  <si>
    <t>SESI</t>
  </si>
  <si>
    <t>SENAI</t>
  </si>
  <si>
    <t>INCRA</t>
  </si>
  <si>
    <t>SEBRAE</t>
  </si>
  <si>
    <t>Salário Educação</t>
  </si>
  <si>
    <t>Seguro Contra Acidente de Trabalho</t>
  </si>
  <si>
    <t>FGTS</t>
  </si>
  <si>
    <t>SECONCI</t>
  </si>
  <si>
    <t>TOTAL DO GRUPO A</t>
  </si>
  <si>
    <t>GRUPO B</t>
  </si>
  <si>
    <t>Repouso Semanal Remunerado</t>
  </si>
  <si>
    <t xml:space="preserve">Feriados </t>
  </si>
  <si>
    <t xml:space="preserve">Auxílio - Enfermidade </t>
  </si>
  <si>
    <t xml:space="preserve">13º Salário </t>
  </si>
  <si>
    <t>Licença Paternidade</t>
  </si>
  <si>
    <t>2.6</t>
  </si>
  <si>
    <t xml:space="preserve">Faltas Justificadas </t>
  </si>
  <si>
    <t>2.7</t>
  </si>
  <si>
    <t xml:space="preserve">Dias de Chuva </t>
  </si>
  <si>
    <t>2.8</t>
  </si>
  <si>
    <t xml:space="preserve">Auxílio Acidente de Trabalho </t>
  </si>
  <si>
    <t>2.9</t>
  </si>
  <si>
    <t>Férias Gozadas</t>
  </si>
  <si>
    <t>2.10</t>
  </si>
  <si>
    <t>Salário Maternidade</t>
  </si>
  <si>
    <t>TOTAL DO GRUPO B</t>
  </si>
  <si>
    <t>GRUPO C</t>
  </si>
  <si>
    <t>Aviso Prévio Indenizado</t>
  </si>
  <si>
    <t xml:space="preserve">Aviso Prévio Trabalhado </t>
  </si>
  <si>
    <t>Férias Indenizadas</t>
  </si>
  <si>
    <t>3.4</t>
  </si>
  <si>
    <t xml:space="preserve">Depósito Rescisão Sem Justa Causa </t>
  </si>
  <si>
    <t>3.5</t>
  </si>
  <si>
    <t>Indenização Adicional</t>
  </si>
  <si>
    <t>TOTAL DO GRUPO C</t>
  </si>
  <si>
    <t>GRUPO D</t>
  </si>
  <si>
    <t>Reincidência de Grupo A sobre Grupo B</t>
  </si>
  <si>
    <t>Reincidência de Grupo A sobre Aviso Prévio
Trabalhado e Reincidência do FGTS sobre
Aviso Prévio Indenizado</t>
  </si>
  <si>
    <t>TOTAL (A+B+C+D)</t>
  </si>
  <si>
    <t>Preenchimento de acordo com a tabela SINAPI</t>
  </si>
  <si>
    <t>EXTAMPAR</t>
  </si>
  <si>
    <t>Placas de atendimento ao publico</t>
  </si>
  <si>
    <t>Parácopias</t>
  </si>
  <si>
    <t xml:space="preserve">Adesivo SIA </t>
  </si>
  <si>
    <t>(37) 3231-6681</t>
  </si>
  <si>
    <t>(37) 99973-4928</t>
  </si>
  <si>
    <t>(37) 99857-7696</t>
  </si>
  <si>
    <t>Cobertura metálica</t>
  </si>
  <si>
    <t>Jota - Estrutura Metálica</t>
  </si>
  <si>
    <t>RO-41575</t>
  </si>
  <si>
    <t>Mastique Vedaflex ou similar - 400g</t>
  </si>
  <si>
    <t>Primer - 1L</t>
  </si>
  <si>
    <t>Adequação do guarda-corpo da escada, em aço inox e vidro ( Padrão CMPM) - de acordo com a ABNT</t>
  </si>
  <si>
    <t>MÃO-DE-OBRA</t>
  </si>
  <si>
    <t>1.10</t>
  </si>
  <si>
    <t>1.11</t>
  </si>
  <si>
    <t>1.12</t>
  </si>
  <si>
    <t>1.13</t>
  </si>
  <si>
    <t>1.14</t>
  </si>
  <si>
    <t>1.15</t>
  </si>
  <si>
    <t>2° PAVIMENTO</t>
  </si>
  <si>
    <t>4.9</t>
  </si>
  <si>
    <t>4.10</t>
  </si>
  <si>
    <t>4.11</t>
  </si>
  <si>
    <t>4.12</t>
  </si>
  <si>
    <t>4.13</t>
  </si>
  <si>
    <t>4.14</t>
  </si>
  <si>
    <t>4.15</t>
  </si>
  <si>
    <t>5.6</t>
  </si>
  <si>
    <t>5.7</t>
  </si>
  <si>
    <t>5.8</t>
  </si>
  <si>
    <t>5.9</t>
  </si>
  <si>
    <t>6.4</t>
  </si>
  <si>
    <t>6.5</t>
  </si>
  <si>
    <t>6.6</t>
  </si>
  <si>
    <t>6.7</t>
  </si>
  <si>
    <t>6.8</t>
  </si>
  <si>
    <t>7.2</t>
  </si>
  <si>
    <t>7.3</t>
  </si>
  <si>
    <t>7.4</t>
  </si>
  <si>
    <t>7.5</t>
  </si>
  <si>
    <t>8.3</t>
  </si>
  <si>
    <t>8.4</t>
  </si>
  <si>
    <t>8.5</t>
  </si>
  <si>
    <t>8.6</t>
  </si>
  <si>
    <t>9.4</t>
  </si>
  <si>
    <t>9.5</t>
  </si>
  <si>
    <t>9.6</t>
  </si>
  <si>
    <t>9.7</t>
  </si>
  <si>
    <t>Pinturas e Piso</t>
  </si>
  <si>
    <t>Encargos Sociais Sem Desoneração - Horista</t>
  </si>
  <si>
    <t>ANDAIME</t>
  </si>
  <si>
    <t xml:space="preserve"> 1.5</t>
  </si>
  <si>
    <t>Tinta epóxi 3.6L cinza claro</t>
  </si>
  <si>
    <t>Fornecimento e instalação de fechamento de pia na copa, com vidro temperado 6mm (acabamento preto), portas com abertura do tipo de correr - 460x67cm - inclusive mão de obra</t>
  </si>
  <si>
    <t>Demolição e reassentamento de piso  para construção de rampa  - Hall externo da entrada principal</t>
  </si>
  <si>
    <t>Guarda-corpo em aço galvanizado com Corrimão duplo - Diâmetro de 5cm -  Com placa de Braille (inicio e fim)</t>
  </si>
  <si>
    <t>Corrimão duplo em tubo galvanizado - Diâmetro de 5cm - Com placa de Braille (inicio e fim)</t>
  </si>
  <si>
    <t>Instalação de luminária de sobrepor, para 4 lâmpadas tubulares (Padrão CMPM) -  sala conservel</t>
  </si>
  <si>
    <t>SUDECAP</t>
  </si>
  <si>
    <t>18.06.31</t>
  </si>
  <si>
    <t>Execução da 16ª. Etapa: Acabamentos nas Regiões da Garagem, Calçada, 2º Pavimento, 3º Pavimento, 4º Pavimento, 5º Pavimento, Plenário e Acessibilidade</t>
  </si>
  <si>
    <t>CALÇADA</t>
  </si>
  <si>
    <t>CORRIMÃO E DEGRAU</t>
  </si>
  <si>
    <t>Corrimão e degrau</t>
  </si>
  <si>
    <t>Placa em braille alum. 10x3cm corrimão (Ex.: andar) Caixa de escada central e lateral</t>
  </si>
  <si>
    <t xml:space="preserve">Corrimão simples em tubo galvanizado (Padrão CMPM) - Diâmetro de 5cm </t>
  </si>
  <si>
    <t>Faixa p/ degraus refletiva 3x10cm. Caixa de escada central, lateral e escada social</t>
  </si>
  <si>
    <t>01.03.02</t>
  </si>
  <si>
    <t>Placa de obra em lona impressão digital - Instalação de 2 Placas - Informes da Obra - 1,10x2,15m</t>
  </si>
  <si>
    <t>Placas</t>
  </si>
  <si>
    <t>ED-14560</t>
  </si>
  <si>
    <t>ED-19519</t>
  </si>
  <si>
    <t>Cabo de cobre flexível, não halogenado, antichama, termofixo, unipolar, seção de 1,5mm - Verde - para as instalações elétricas da cobertura</t>
  </si>
  <si>
    <t>ED-9933</t>
  </si>
  <si>
    <t>Engenheiro Civil / Arquiteto - Acompanhamento diário na obra (média de duas horas por dia)</t>
  </si>
  <si>
    <t>18.06.06</t>
  </si>
  <si>
    <t>SETOP / SUDECAP / MERCADO</t>
  </si>
  <si>
    <t>02.29.01</t>
  </si>
  <si>
    <t>OBRA CIVIL - ADEQUAÇÃO DO LOCAL PARA INSTALAÇÃO DE PLATAFORMA</t>
  </si>
  <si>
    <t>Demolição de concreto - Piso</t>
  </si>
  <si>
    <t>m³</t>
  </si>
  <si>
    <t>ED-48460</t>
  </si>
  <si>
    <t xml:space="preserve">Demolição de painel de régua - Forro linear de alúminio </t>
  </si>
  <si>
    <t>m²</t>
  </si>
  <si>
    <t>Demolição de concreto - Parede</t>
  </si>
  <si>
    <t>Lixamento manual em parede para remoção de tinta</t>
  </si>
  <si>
    <t>ED-50516</t>
  </si>
  <si>
    <t>Preparação para emassamento ou pintura em parede, inclusive uma demão de selador</t>
  </si>
  <si>
    <t>ED-50451</t>
  </si>
  <si>
    <t>Pintura acrílica em parede, duas demãos - Cor preta (padrão CMPM</t>
  </si>
  <si>
    <t>ED-48233</t>
  </si>
  <si>
    <t>Construção de piso com tijolo cerâmico, argamassa para assentamento</t>
  </si>
  <si>
    <t xml:space="preserve">Acabamento do piso cerâmico em concreto fck 15 mpa </t>
  </si>
  <si>
    <t>Lixamento manual em piso para nivelamento</t>
  </si>
  <si>
    <t>ED-50632</t>
  </si>
  <si>
    <t>Assentamento em carpete "Carvão" (padrão CMPM)</t>
  </si>
  <si>
    <t>Pintura acrílica na cor branco neve acetinada (padrão CMPM) aplicada em três demãos, com prévia aplicação de selador acrílico, em uma demão - Área interna do poço</t>
  </si>
  <si>
    <t>INSTALAÇÕES ELÉTRICAS - ADEQUAÇÃO DO LOCAL PARA INSTALAÇÃO DE PLATAFORMA</t>
  </si>
  <si>
    <t>Cabo de cobre flexível, não halogenado, antichama, termofixo, unipolar, seção de 6 mm² - Vermelho - ligação elétrica da plataforma</t>
  </si>
  <si>
    <t>Cabo de cobre flexível, não halogenado, antichama, termofixo, unipolar, seção de 6 mm² - Azul - ligação elétrica da plataforma</t>
  </si>
  <si>
    <t>Cabo de cobre flexível, não halogenado, antichama, termofixo, unipolar, seção de 6 mm² - Verde - ligação elétrica da plataforma</t>
  </si>
  <si>
    <t>ED-48701</t>
  </si>
  <si>
    <t>Conector bimetálico 16mm²</t>
  </si>
  <si>
    <t>ED-51083</t>
  </si>
  <si>
    <t>Terminal Ilhós 6mm²</t>
  </si>
  <si>
    <t>ED-49274</t>
  </si>
  <si>
    <t>Disjuntor termomagnético 32A tipo DIN</t>
  </si>
  <si>
    <t>ED-17954</t>
  </si>
  <si>
    <t>Condulete Alumínio Rosca 3/4"tipo LB</t>
  </si>
  <si>
    <t>Condulete Alumínio Rosca 3/4"tipo LL</t>
  </si>
  <si>
    <t>ED-49308</t>
  </si>
  <si>
    <t>Eletroduto PVC Rígido 3/4"</t>
  </si>
  <si>
    <t>ED-49499</t>
  </si>
  <si>
    <t>Quadro de distribuição - 40x30x20</t>
  </si>
  <si>
    <t>18.05.29</t>
  </si>
  <si>
    <t>Etiquetas alta adesivas em aclilico - Sinalização/Identificação do quadro e disjuntor</t>
  </si>
  <si>
    <t>Demolição de concreto na parede para dimensionamento da ligação elétrica</t>
  </si>
  <si>
    <t>Pintura acrílica na cor branco neve acetinada (padrão CMPM) aplicada em três demãos, com prévia aplicação de selador acrílico, em uma demão</t>
  </si>
  <si>
    <t>SINALIZAÇÃO DE OBRA - ADEQUAÇÃO DO LOCAL PARA INSTALAÇÃO DE PLATAFORMA</t>
  </si>
  <si>
    <t>01.11.07</t>
  </si>
  <si>
    <t>Pedestal sinalizador de segurança</t>
  </si>
  <si>
    <t>Placa de sinalização de cuidado - Poço de Elevador e risco de queda</t>
  </si>
  <si>
    <t>9.8</t>
  </si>
  <si>
    <t>9.9</t>
  </si>
  <si>
    <t xml:space="preserve">BDI CALCULADO CONFORME ACÓRDÃO Nº 2622/2013 – TCU </t>
  </si>
  <si>
    <t>Tarucel - 10mm</t>
  </si>
  <si>
    <t>SINAPI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</si>
  <si>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A fim de melhor representar a realidade local, as cotações de materiais e mão de obra foram feitas nas Praças de Pará de Minas. Além disso, as composições e planilhas foram elaboradas tomando-se por base da Planilha Setop, Sinapi e Sudecap, além de pesquisas junto à prestadores de serviços da construção civil, bem como o conhecimento e experiência profissional acumulados no exercício da profissão e em diversos projetos e obras.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</si>
</sst>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0_-;\-* #,##0.000_-;_-* &quot;-&quot;??_-;_-@_-"/>
    <numFmt numFmtId="165" formatCode="_-* #,##0.00_-;\-* #,##0.00_-;_-* &quot;-&quot;??????_-;_-@_-"/>
    <numFmt numFmtId="166" formatCode="_-* #,##0_-;\-* #,##0_-;_-* &quot;-&quot;??_-;_-@_-"/>
    <numFmt numFmtId="167" formatCode="&quot;R$&quot;\ #,##0.00"/>
    <numFmt numFmtId="168" formatCode="0.000"/>
    <numFmt numFmtId="169" formatCode="0.0"/>
    <numFmt numFmtId="170" formatCode="_-&quot;R$&quot;\ * #,##0.000_-;\-&quot;R$&quot;\ * #,##0.000_-;_-&quot;R$&quot;\ * &quot;-&quot;??_-;_-@_-"/>
    <numFmt numFmtId="171" formatCode="_-&quot;R$&quot;\ * #,##0.0000_-;\-&quot;R$&quot;\ * #,##0.0000_-;_-&quot;R$&quot;\ * &quot;-&quot;??_-;_-@_-"/>
    <numFmt numFmtId="172" formatCode="_-&quot;R$&quot;\ * #,##0.00000_-;\-&quot;R$&quot;\ * #,##0.00000_-;_-&quot;R$&quot;\ * &quot;-&quot;??_-;_-@_-"/>
    <numFmt numFmtId="173" formatCode="0.000000000000"/>
    <numFmt numFmtId="174" formatCode="0.000000000"/>
    <numFmt numFmtId="175" formatCode="_-&quot;R$&quot;* #,##0.00_-;\-&quot;R$&quot;* #,##0.00_-;_-&quot;R$&quot;* &quot;-&quot;??_-;_-@_-"/>
    <numFmt numFmtId="176" formatCode="_-* #,##0.00000_-;\-* #,##0.00000_-;_-* &quot;-&quot;??_-;_-@_-"/>
    <numFmt numFmtId="177" formatCode="_-* #,##0.0000000_-;\-* #,##0.0000000_-;_-* &quot;-&quot;??_-;_-@_-"/>
    <numFmt numFmtId="178" formatCode="_-&quot;R$&quot;\ * #,##0.0000000000000_-;\-&quot;R$&quot;\ * #,##0.0000000000000_-;_-&quot;R$&quot;\ 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</font>
    <font>
      <sz val="8"/>
      <color rgb="FF01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8"/>
      <color theme="1"/>
      <name val="Arial"/>
      <family val="2"/>
    </font>
    <font>
      <b/>
      <sz val="11"/>
      <color rgb="FF888888"/>
      <name val="Arial"/>
      <family val="2"/>
    </font>
    <font>
      <sz val="11"/>
      <color rgb="FF888888"/>
      <name val="Arial"/>
      <family val="2"/>
    </font>
    <font>
      <sz val="8"/>
      <color rgb="FF888888"/>
      <name val="Arial"/>
      <family val="2"/>
    </font>
    <font>
      <b/>
      <sz val="9"/>
      <color theme="1"/>
      <name val="Arial"/>
      <family val="2"/>
    </font>
    <font>
      <b/>
      <sz val="16"/>
      <color theme="1"/>
      <name val="Arial"/>
      <family val="2"/>
    </font>
    <font>
      <sz val="8"/>
      <color rgb="FFFF000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12"/>
      <color theme="1"/>
      <name val="Arial"/>
      <family val="2"/>
    </font>
    <font>
      <sz val="8"/>
      <name val="Tahoma"/>
      <family val="2"/>
    </font>
    <font>
      <b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322">
    <xf numFmtId="0" fontId="0" fillId="0" borderId="0" xfId="0"/>
    <xf numFmtId="0" fontId="6" fillId="0" borderId="0" xfId="0" applyFont="1"/>
    <xf numFmtId="43" fontId="6" fillId="0" borderId="2" xfId="1" applyFont="1" applyFill="1" applyBorder="1" applyAlignment="1">
      <alignment horizontal="center" vertical="center"/>
    </xf>
    <xf numFmtId="43" fontId="6" fillId="0" borderId="0" xfId="1" applyFont="1"/>
    <xf numFmtId="43" fontId="6" fillId="0" borderId="0" xfId="1" applyFont="1" applyAlignment="1">
      <alignment horizontal="center"/>
    </xf>
    <xf numFmtId="44" fontId="6" fillId="0" borderId="0" xfId="2" applyFont="1" applyFill="1" applyBorder="1"/>
    <xf numFmtId="0" fontId="5" fillId="0" borderId="2" xfId="0" applyFont="1" applyBorder="1" applyAlignment="1">
      <alignment horizontal="center" vertical="center"/>
    </xf>
    <xf numFmtId="43" fontId="5" fillId="0" borderId="2" xfId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2" fontId="14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2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44" fontId="5" fillId="0" borderId="13" xfId="2" applyFont="1" applyFill="1" applyBorder="1" applyAlignment="1">
      <alignment horizontal="center" vertical="center"/>
    </xf>
    <xf numFmtId="0" fontId="6" fillId="0" borderId="12" xfId="0" applyFont="1" applyBorder="1"/>
    <xf numFmtId="43" fontId="6" fillId="0" borderId="13" xfId="1" applyFont="1" applyFill="1" applyBorder="1"/>
    <xf numFmtId="0" fontId="0" fillId="0" borderId="8" xfId="0" applyBorder="1"/>
    <xf numFmtId="0" fontId="0" fillId="0" borderId="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6" fillId="0" borderId="0" xfId="0" applyFont="1" applyFill="1"/>
    <xf numFmtId="43" fontId="6" fillId="0" borderId="2" xfId="1" applyNumberFormat="1" applyFont="1" applyFill="1" applyBorder="1" applyAlignment="1">
      <alignment horizontal="center" vertical="center"/>
    </xf>
    <xf numFmtId="43" fontId="6" fillId="0" borderId="2" xfId="1" applyNumberFormat="1" applyFont="1" applyFill="1" applyBorder="1" applyAlignment="1">
      <alignment vertical="center"/>
    </xf>
    <xf numFmtId="43" fontId="6" fillId="0" borderId="13" xfId="1" applyNumberFormat="1" applyFont="1" applyFill="1" applyBorder="1" applyAlignment="1">
      <alignment vertical="center"/>
    </xf>
    <xf numFmtId="0" fontId="6" fillId="4" borderId="1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43" fontId="6" fillId="0" borderId="0" xfId="1" applyFont="1" applyAlignment="1"/>
    <xf numFmtId="43" fontId="3" fillId="0" borderId="5" xfId="1" applyNumberFormat="1" applyFont="1" applyFill="1" applyBorder="1" applyAlignment="1">
      <alignment wrapText="1"/>
    </xf>
    <xf numFmtId="43" fontId="6" fillId="0" borderId="0" xfId="1" applyFont="1" applyFill="1" applyBorder="1" applyAlignment="1">
      <alignment horizontal="center" vertical="center"/>
    </xf>
    <xf numFmtId="43" fontId="6" fillId="0" borderId="0" xfId="1" applyFont="1" applyFill="1" applyBorder="1" applyAlignment="1">
      <alignment vertical="center"/>
    </xf>
    <xf numFmtId="43" fontId="6" fillId="0" borderId="0" xfId="1" applyFont="1" applyAlignment="1">
      <alignment vertical="center"/>
    </xf>
    <xf numFmtId="43" fontId="6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3" fontId="3" fillId="0" borderId="5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4" fontId="8" fillId="0" borderId="2" xfId="2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43" fontId="6" fillId="3" borderId="4" xfId="1" applyFont="1" applyFill="1" applyBorder="1" applyAlignment="1">
      <alignment horizontal="center" vertical="center"/>
    </xf>
    <xf numFmtId="9" fontId="7" fillId="3" borderId="13" xfId="0" applyNumberFormat="1" applyFont="1" applyFill="1" applyBorder="1"/>
    <xf numFmtId="43" fontId="11" fillId="3" borderId="29" xfId="1" applyFont="1" applyFill="1" applyBorder="1" applyAlignment="1">
      <alignment vertical="center"/>
    </xf>
    <xf numFmtId="43" fontId="7" fillId="3" borderId="16" xfId="1" applyFont="1" applyFill="1" applyBorder="1" applyAlignment="1">
      <alignment horizontal="center" vertical="center"/>
    </xf>
    <xf numFmtId="165" fontId="11" fillId="3" borderId="17" xfId="0" applyNumberFormat="1" applyFont="1" applyFill="1" applyBorder="1" applyAlignment="1">
      <alignment horizontal="center"/>
    </xf>
    <xf numFmtId="0" fontId="21" fillId="0" borderId="7" xfId="0" applyFont="1" applyBorder="1" applyAlignment="1"/>
    <xf numFmtId="0" fontId="21" fillId="0" borderId="0" xfId="0" applyFont="1" applyAlignment="1"/>
    <xf numFmtId="0" fontId="21" fillId="0" borderId="0" xfId="0" applyFont="1" applyBorder="1" applyAlignment="1"/>
    <xf numFmtId="0" fontId="9" fillId="5" borderId="2" xfId="0" applyFont="1" applyFill="1" applyBorder="1" applyAlignment="1">
      <alignment horizontal="center" vertical="center"/>
    </xf>
    <xf numFmtId="0" fontId="22" fillId="0" borderId="2" xfId="4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3" fontId="3" fillId="0" borderId="5" xfId="1" applyNumberFormat="1" applyFont="1" applyFill="1" applyBorder="1" applyAlignment="1">
      <alignment vertical="center" wrapText="1"/>
    </xf>
    <xf numFmtId="43" fontId="6" fillId="0" borderId="0" xfId="0" applyNumberFormat="1" applyFont="1"/>
    <xf numFmtId="0" fontId="6" fillId="0" borderId="0" xfId="0" applyFont="1" applyFill="1" applyBorder="1"/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44" fontId="24" fillId="0" borderId="0" xfId="2" applyFont="1" applyFill="1" applyBorder="1" applyAlignment="1">
      <alignment horizontal="center" vertical="center"/>
    </xf>
    <xf numFmtId="44" fontId="6" fillId="0" borderId="0" xfId="2" applyFont="1" applyFill="1" applyBorder="1" applyAlignment="1">
      <alignment horizontal="center" vertical="center"/>
    </xf>
    <xf numFmtId="43" fontId="6" fillId="0" borderId="0" xfId="1" applyFont="1" applyFill="1" applyBorder="1"/>
    <xf numFmtId="43" fontId="6" fillId="0" borderId="0" xfId="1" applyFont="1" applyFill="1" applyBorder="1" applyAlignment="1"/>
    <xf numFmtId="0" fontId="25" fillId="0" borderId="0" xfId="5" applyFont="1" applyFill="1" applyBorder="1" applyAlignment="1">
      <alignment horizontal="left" vertical="justify"/>
    </xf>
    <xf numFmtId="0" fontId="25" fillId="0" borderId="0" xfId="5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44" fontId="13" fillId="0" borderId="0" xfId="2" applyFont="1" applyFill="1" applyBorder="1" applyAlignment="1" applyProtection="1">
      <alignment horizontal="center" vertical="center" wrapText="1"/>
      <protection hidden="1"/>
    </xf>
    <xf numFmtId="168" fontId="8" fillId="0" borderId="0" xfId="0" applyNumberFormat="1" applyFont="1" applyFill="1" applyBorder="1" applyAlignment="1">
      <alignment horizontal="center" vertical="center" wrapText="1"/>
    </xf>
    <xf numFmtId="44" fontId="26" fillId="0" borderId="0" xfId="2" applyFont="1" applyFill="1" applyBorder="1" applyAlignment="1" applyProtection="1">
      <alignment horizontal="center" vertical="center" wrapText="1"/>
      <protection hidden="1"/>
    </xf>
    <xf numFmtId="44" fontId="8" fillId="0" borderId="0" xfId="2" applyFont="1" applyFill="1" applyBorder="1" applyAlignment="1" applyProtection="1">
      <alignment horizontal="center" vertical="center" wrapText="1"/>
      <protection hidden="1"/>
    </xf>
    <xf numFmtId="169" fontId="8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/>
    <xf numFmtId="164" fontId="27" fillId="0" borderId="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left" vertical="center" wrapText="1"/>
    </xf>
    <xf numFmtId="1" fontId="28" fillId="0" borderId="0" xfId="0" applyNumberFormat="1" applyFont="1" applyFill="1" applyBorder="1" applyAlignment="1">
      <alignment horizontal="center" vertical="center" wrapText="1"/>
    </xf>
    <xf numFmtId="1" fontId="28" fillId="0" borderId="0" xfId="0" applyNumberFormat="1" applyFont="1" applyFill="1" applyBorder="1" applyAlignment="1">
      <alignment horizontal="center" vertical="center"/>
    </xf>
    <xf numFmtId="4" fontId="28" fillId="0" borderId="0" xfId="0" applyNumberFormat="1" applyFont="1" applyFill="1" applyBorder="1" applyAlignment="1">
      <alignment horizontal="right" vertical="center"/>
    </xf>
    <xf numFmtId="44" fontId="28" fillId="0" borderId="0" xfId="1" applyNumberFormat="1" applyFont="1" applyFill="1" applyBorder="1" applyAlignment="1">
      <alignment horizontal="right" vertical="center"/>
    </xf>
    <xf numFmtId="39" fontId="28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29" fillId="0" borderId="0" xfId="0" applyFont="1" applyFill="1"/>
    <xf numFmtId="0" fontId="3" fillId="0" borderId="0" xfId="0" applyFont="1" applyFill="1" applyBorder="1" applyAlignment="1">
      <alignment vertical="center" wrapText="1"/>
    </xf>
    <xf numFmtId="9" fontId="9" fillId="0" borderId="0" xfId="6" applyFont="1" applyFill="1" applyBorder="1" applyAlignment="1">
      <alignment horizontal="center" vertical="center" wrapText="1"/>
    </xf>
    <xf numFmtId="44" fontId="14" fillId="0" borderId="0" xfId="2" applyFont="1" applyFill="1" applyBorder="1" applyAlignment="1">
      <alignment horizontal="center" vertical="center"/>
    </xf>
    <xf numFmtId="44" fontId="9" fillId="0" borderId="0" xfId="2" applyFont="1" applyFill="1" applyBorder="1" applyAlignment="1">
      <alignment horizontal="center" vertical="center" wrapText="1"/>
    </xf>
    <xf numFmtId="44" fontId="9" fillId="0" borderId="0" xfId="2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9" fillId="2" borderId="2" xfId="2" applyNumberFormat="1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0" fillId="0" borderId="0" xfId="0" applyBorder="1"/>
    <xf numFmtId="0" fontId="29" fillId="7" borderId="2" xfId="0" applyFont="1" applyFill="1" applyBorder="1" applyAlignment="1">
      <alignment horizontal="center" vertical="center"/>
    </xf>
    <xf numFmtId="0" fontId="29" fillId="7" borderId="2" xfId="0" applyFont="1" applyFill="1" applyBorder="1" applyAlignment="1">
      <alignment vertical="center"/>
    </xf>
    <xf numFmtId="2" fontId="9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0" fontId="11" fillId="2" borderId="2" xfId="0" applyFont="1" applyFill="1" applyBorder="1"/>
    <xf numFmtId="2" fontId="9" fillId="2" borderId="2" xfId="0" applyNumberFormat="1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horizontal="center"/>
    </xf>
    <xf numFmtId="0" fontId="14" fillId="2" borderId="2" xfId="0" applyFont="1" applyFill="1" applyBorder="1" applyAlignment="1">
      <alignment vertical="center"/>
    </xf>
    <xf numFmtId="2" fontId="14" fillId="2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167" fontId="6" fillId="0" borderId="0" xfId="0" applyNumberFormat="1" applyFont="1"/>
    <xf numFmtId="167" fontId="6" fillId="0" borderId="0" xfId="0" applyNumberFormat="1" applyFont="1" applyFill="1"/>
    <xf numFmtId="0" fontId="8" fillId="0" borderId="2" xfId="0" applyFont="1" applyFill="1" applyBorder="1" applyAlignment="1">
      <alignment horizontal="center" vertical="center"/>
    </xf>
    <xf numFmtId="44" fontId="8" fillId="0" borderId="2" xfId="2" applyFont="1" applyFill="1" applyBorder="1" applyAlignment="1">
      <alignment vertical="center"/>
    </xf>
    <xf numFmtId="170" fontId="8" fillId="0" borderId="2" xfId="2" applyNumberFormat="1" applyFont="1" applyFill="1" applyBorder="1" applyAlignment="1">
      <alignment vertical="center"/>
    </xf>
    <xf numFmtId="44" fontId="8" fillId="0" borderId="2" xfId="2" applyNumberFormat="1" applyFont="1" applyFill="1" applyBorder="1" applyAlignment="1">
      <alignment vertical="center"/>
    </xf>
    <xf numFmtId="170" fontId="8" fillId="0" borderId="2" xfId="0" applyNumberFormat="1" applyFont="1" applyBorder="1" applyAlignment="1">
      <alignment vertical="center" wrapText="1"/>
    </xf>
    <xf numFmtId="170" fontId="8" fillId="0" borderId="2" xfId="2" applyNumberFormat="1" applyFont="1" applyBorder="1" applyAlignment="1">
      <alignment vertical="center"/>
    </xf>
    <xf numFmtId="170" fontId="8" fillId="0" borderId="2" xfId="0" applyNumberFormat="1" applyFont="1" applyFill="1" applyBorder="1" applyAlignment="1">
      <alignment vertical="center"/>
    </xf>
    <xf numFmtId="170" fontId="8" fillId="0" borderId="2" xfId="0" applyNumberFormat="1" applyFont="1" applyBorder="1" applyAlignment="1">
      <alignment vertical="center"/>
    </xf>
    <xf numFmtId="171" fontId="8" fillId="0" borderId="2" xfId="2" applyNumberFormat="1" applyFont="1" applyBorder="1" applyAlignment="1">
      <alignment vertical="center"/>
    </xf>
    <xf numFmtId="171" fontId="8" fillId="0" borderId="0" xfId="0" applyNumberFormat="1" applyFont="1" applyAlignment="1">
      <alignment vertical="center"/>
    </xf>
    <xf numFmtId="172" fontId="8" fillId="0" borderId="2" xfId="2" applyNumberFormat="1" applyFont="1" applyBorder="1" applyAlignment="1">
      <alignment vertical="center"/>
    </xf>
    <xf numFmtId="172" fontId="8" fillId="0" borderId="0" xfId="0" applyNumberFormat="1" applyFont="1" applyAlignment="1">
      <alignment vertical="center"/>
    </xf>
    <xf numFmtId="0" fontId="9" fillId="2" borderId="3" xfId="0" applyFont="1" applyFill="1" applyBorder="1" applyAlignment="1">
      <alignment vertical="center"/>
    </xf>
    <xf numFmtId="44" fontId="8" fillId="0" borderId="2" xfId="2" applyNumberFormat="1" applyFont="1" applyBorder="1" applyAlignment="1">
      <alignment vertical="center"/>
    </xf>
    <xf numFmtId="173" fontId="0" fillId="0" borderId="0" xfId="0" applyNumberFormat="1"/>
    <xf numFmtId="2" fontId="0" fillId="0" borderId="0" xfId="0" applyNumberFormat="1"/>
    <xf numFmtId="174" fontId="8" fillId="0" borderId="0" xfId="0" applyNumberFormat="1" applyFont="1" applyAlignment="1">
      <alignment vertical="center"/>
    </xf>
    <xf numFmtId="43" fontId="6" fillId="0" borderId="0" xfId="1" applyFont="1" applyFill="1"/>
    <xf numFmtId="43" fontId="3" fillId="0" borderId="0" xfId="1" applyFont="1" applyFill="1" applyBorder="1" applyAlignment="1">
      <alignment vertical="center" wrapText="1"/>
    </xf>
    <xf numFmtId="43" fontId="21" fillId="0" borderId="0" xfId="1" applyFont="1" applyAlignment="1"/>
    <xf numFmtId="43" fontId="12" fillId="0" borderId="0" xfId="1" applyFont="1" applyFill="1" applyBorder="1" applyAlignment="1">
      <alignment vertical="center"/>
    </xf>
    <xf numFmtId="43" fontId="29" fillId="0" borderId="0" xfId="1" applyFont="1" applyFill="1" applyBorder="1" applyAlignment="1">
      <alignment vertical="center"/>
    </xf>
    <xf numFmtId="43" fontId="9" fillId="0" borderId="0" xfId="1" applyFont="1" applyBorder="1" applyAlignment="1">
      <alignment vertical="center" wrapText="1"/>
    </xf>
    <xf numFmtId="43" fontId="19" fillId="0" borderId="0" xfId="1" applyFont="1" applyBorder="1" applyAlignment="1">
      <alignment vertical="center" wrapText="1"/>
    </xf>
    <xf numFmtId="176" fontId="6" fillId="0" borderId="0" xfId="1" applyNumberFormat="1" applyFont="1"/>
    <xf numFmtId="177" fontId="6" fillId="0" borderId="0" xfId="1" applyNumberFormat="1" applyFont="1"/>
    <xf numFmtId="43" fontId="6" fillId="0" borderId="12" xfId="0" applyNumberFormat="1" applyFont="1" applyBorder="1"/>
    <xf numFmtId="43" fontId="3" fillId="0" borderId="2" xfId="0" applyNumberFormat="1" applyFont="1" applyBorder="1" applyAlignment="1">
      <alignment horizontal="center" vertical="center"/>
    </xf>
    <xf numFmtId="43" fontId="3" fillId="0" borderId="2" xfId="0" applyNumberFormat="1" applyFont="1" applyFill="1" applyBorder="1" applyAlignment="1">
      <alignment horizontal="center" vertical="center"/>
    </xf>
    <xf numFmtId="43" fontId="3" fillId="0" borderId="2" xfId="0" applyNumberFormat="1" applyFont="1" applyFill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 wrapText="1"/>
    </xf>
    <xf numFmtId="43" fontId="6" fillId="0" borderId="2" xfId="1" applyNumberFormat="1" applyFont="1" applyBorder="1" applyAlignment="1">
      <alignment horizontal="center" vertical="center"/>
    </xf>
    <xf numFmtId="43" fontId="3" fillId="0" borderId="2" xfId="1" applyNumberFormat="1" applyFont="1" applyFill="1" applyBorder="1" applyAlignment="1">
      <alignment wrapText="1"/>
    </xf>
    <xf numFmtId="43" fontId="4" fillId="0" borderId="2" xfId="0" applyNumberFormat="1" applyFont="1" applyBorder="1" applyAlignment="1">
      <alignment horizontal="center" vertical="center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2" xfId="0" applyNumberFormat="1" applyFont="1" applyFill="1" applyBorder="1" applyAlignment="1">
      <alignment horizontal="justify" vertical="center"/>
    </xf>
    <xf numFmtId="43" fontId="4" fillId="0" borderId="2" xfId="1" applyNumberFormat="1" applyFont="1" applyFill="1" applyBorder="1" applyAlignment="1"/>
    <xf numFmtId="43" fontId="6" fillId="4" borderId="12" xfId="0" applyNumberFormat="1" applyFont="1" applyFill="1" applyBorder="1" applyAlignment="1">
      <alignment horizontal="center" vertical="center"/>
    </xf>
    <xf numFmtId="43" fontId="3" fillId="4" borderId="2" xfId="0" applyNumberFormat="1" applyFont="1" applyFill="1" applyBorder="1" applyAlignment="1">
      <alignment horizontal="center" vertical="center"/>
    </xf>
    <xf numFmtId="43" fontId="6" fillId="0" borderId="12" xfId="0" applyNumberFormat="1" applyFont="1" applyFill="1" applyBorder="1"/>
    <xf numFmtId="43" fontId="3" fillId="0" borderId="2" xfId="0" applyNumberFormat="1" applyFont="1" applyFill="1" applyBorder="1" applyAlignment="1">
      <alignment horizontal="center" vertical="center" wrapText="1"/>
    </xf>
    <xf numFmtId="43" fontId="6" fillId="4" borderId="2" xfId="0" applyNumberFormat="1" applyFont="1" applyFill="1" applyBorder="1" applyAlignment="1">
      <alignment horizontal="center" vertical="center"/>
    </xf>
    <xf numFmtId="43" fontId="3" fillId="0" borderId="2" xfId="0" applyNumberFormat="1" applyFont="1" applyBorder="1" applyAlignment="1">
      <alignment horizontal="justify" vertical="center" wrapText="1"/>
    </xf>
    <xf numFmtId="43" fontId="4" fillId="4" borderId="2" xfId="0" applyNumberFormat="1" applyFont="1" applyFill="1" applyBorder="1" applyAlignment="1">
      <alignment horizontal="center" vertical="center"/>
    </xf>
    <xf numFmtId="43" fontId="3" fillId="0" borderId="5" xfId="0" applyNumberFormat="1" applyFont="1" applyFill="1" applyBorder="1" applyAlignment="1">
      <alignment horizontal="center" vertical="center"/>
    </xf>
    <xf numFmtId="43" fontId="3" fillId="0" borderId="5" xfId="0" applyNumberFormat="1" applyFont="1" applyFill="1" applyBorder="1" applyAlignment="1">
      <alignment horizontal="justify" vertical="center" wrapText="1"/>
    </xf>
    <xf numFmtId="43" fontId="3" fillId="0" borderId="5" xfId="0" applyNumberFormat="1" applyFont="1" applyFill="1" applyBorder="1" applyAlignment="1">
      <alignment horizontal="center" vertical="center" wrapText="1"/>
    </xf>
    <xf numFmtId="43" fontId="6" fillId="0" borderId="5" xfId="1" applyNumberFormat="1" applyFont="1" applyFill="1" applyBorder="1" applyAlignment="1">
      <alignment horizontal="center" vertical="center"/>
    </xf>
    <xf numFmtId="43" fontId="6" fillId="0" borderId="12" xfId="0" applyNumberFormat="1" applyFont="1" applyFill="1" applyBorder="1" applyAlignment="1">
      <alignment horizontal="center" vertical="center"/>
    </xf>
    <xf numFmtId="43" fontId="3" fillId="0" borderId="2" xfId="1" applyNumberFormat="1" applyFont="1" applyFill="1" applyBorder="1" applyAlignment="1">
      <alignment horizontal="right" vertical="center" wrapText="1"/>
    </xf>
    <xf numFmtId="43" fontId="6" fillId="0" borderId="11" xfId="0" applyNumberFormat="1" applyFont="1" applyBorder="1"/>
    <xf numFmtId="43" fontId="3" fillId="0" borderId="5" xfId="0" applyNumberFormat="1" applyFont="1" applyBorder="1" applyAlignment="1">
      <alignment horizontal="center" vertical="center" wrapText="1"/>
    </xf>
    <xf numFmtId="43" fontId="6" fillId="0" borderId="5" xfId="1" applyNumberFormat="1" applyFont="1" applyBorder="1" applyAlignment="1">
      <alignment horizontal="center" vertical="center"/>
    </xf>
    <xf numFmtId="43" fontId="19" fillId="3" borderId="13" xfId="1" applyNumberFormat="1" applyFont="1" applyFill="1" applyBorder="1" applyAlignment="1">
      <alignment vertical="center"/>
    </xf>
    <xf numFmtId="43" fontId="3" fillId="3" borderId="2" xfId="0" applyNumberFormat="1" applyFont="1" applyFill="1" applyBorder="1" applyAlignment="1">
      <alignment horizontal="center" vertical="center"/>
    </xf>
    <xf numFmtId="43" fontId="6" fillId="0" borderId="11" xfId="0" applyNumberFormat="1" applyFont="1" applyFill="1" applyBorder="1" applyAlignment="1">
      <alignment horizontal="center" vertical="center"/>
    </xf>
    <xf numFmtId="43" fontId="5" fillId="4" borderId="2" xfId="0" applyNumberFormat="1" applyFont="1" applyFill="1" applyBorder="1"/>
    <xf numFmtId="43" fontId="6" fillId="4" borderId="2" xfId="0" applyNumberFormat="1" applyFont="1" applyFill="1" applyBorder="1"/>
    <xf numFmtId="43" fontId="6" fillId="4" borderId="2" xfId="1" applyNumberFormat="1" applyFont="1" applyFill="1" applyBorder="1" applyAlignment="1">
      <alignment horizontal="center" vertical="center"/>
    </xf>
    <xf numFmtId="43" fontId="6" fillId="4" borderId="2" xfId="1" applyNumberFormat="1" applyFont="1" applyFill="1" applyBorder="1" applyAlignment="1"/>
    <xf numFmtId="43" fontId="11" fillId="3" borderId="2" xfId="0" applyNumberFormat="1" applyFont="1" applyFill="1" applyBorder="1"/>
    <xf numFmtId="43" fontId="6" fillId="3" borderId="2" xfId="0" applyNumberFormat="1" applyFont="1" applyFill="1" applyBorder="1" applyAlignment="1">
      <alignment horizontal="center" vertical="center"/>
    </xf>
    <xf numFmtId="43" fontId="6" fillId="0" borderId="11" xfId="0" applyNumberFormat="1" applyFont="1" applyFill="1" applyBorder="1"/>
    <xf numFmtId="43" fontId="3" fillId="0" borderId="2" xfId="1" applyNumberFormat="1" applyFont="1" applyFill="1" applyBorder="1" applyAlignment="1">
      <alignment vertical="center" wrapText="1"/>
    </xf>
    <xf numFmtId="0" fontId="3" fillId="0" borderId="5" xfId="0" applyNumberFormat="1" applyFont="1" applyFill="1" applyBorder="1" applyAlignment="1">
      <alignment horizontal="justify" vertical="center" wrapText="1"/>
    </xf>
    <xf numFmtId="0" fontId="3" fillId="0" borderId="5" xfId="0" applyNumberFormat="1" applyFont="1" applyFill="1" applyBorder="1" applyAlignment="1">
      <alignment vertical="center" wrapText="1"/>
    </xf>
    <xf numFmtId="0" fontId="9" fillId="8" borderId="2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170" fontId="9" fillId="8" borderId="2" xfId="0" applyNumberFormat="1" applyFont="1" applyFill="1" applyBorder="1" applyAlignment="1">
      <alignment horizontal="left" vertical="center"/>
    </xf>
    <xf numFmtId="0" fontId="11" fillId="3" borderId="12" xfId="0" applyNumberFormat="1" applyFont="1" applyFill="1" applyBorder="1" applyAlignment="1">
      <alignment horizontal="center" vertical="center"/>
    </xf>
    <xf numFmtId="43" fontId="6" fillId="0" borderId="2" xfId="0" applyNumberFormat="1" applyFont="1" applyBorder="1"/>
    <xf numFmtId="43" fontId="6" fillId="0" borderId="2" xfId="1" applyFont="1" applyBorder="1" applyAlignment="1">
      <alignment horizontal="center" vertical="center"/>
    </xf>
    <xf numFmtId="43" fontId="3" fillId="0" borderId="2" xfId="1" applyFont="1" applyFill="1" applyBorder="1" applyAlignment="1">
      <alignment vertical="center" wrapText="1"/>
    </xf>
    <xf numFmtId="43" fontId="6" fillId="0" borderId="2" xfId="1" applyFont="1" applyFill="1" applyBorder="1" applyAlignment="1">
      <alignment vertical="center"/>
    </xf>
    <xf numFmtId="43" fontId="6" fillId="0" borderId="13" xfId="1" applyFont="1" applyFill="1" applyBorder="1" applyAlignment="1">
      <alignment vertical="center"/>
    </xf>
    <xf numFmtId="43" fontId="3" fillId="0" borderId="1" xfId="0" applyNumberFormat="1" applyFont="1" applyBorder="1" applyAlignment="1">
      <alignment horizontal="justify" vertical="center" wrapText="1"/>
    </xf>
    <xf numFmtId="43" fontId="3" fillId="0" borderId="5" xfId="0" applyNumberFormat="1" applyFont="1" applyBorder="1" applyAlignment="1">
      <alignment horizontal="justify" vertical="center" wrapText="1"/>
    </xf>
    <xf numFmtId="43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43" fontId="3" fillId="0" borderId="2" xfId="1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43" fontId="6" fillId="0" borderId="4" xfId="0" applyNumberFormat="1" applyFont="1" applyBorder="1"/>
    <xf numFmtId="43" fontId="6" fillId="0" borderId="5" xfId="1" applyFont="1" applyFill="1" applyBorder="1" applyAlignment="1">
      <alignment horizontal="center" vertical="center"/>
    </xf>
    <xf numFmtId="43" fontId="3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2" borderId="3" xfId="2" applyNumberFormat="1" applyFont="1" applyFill="1" applyBorder="1" applyAlignment="1">
      <alignment horizontal="center" vertical="center"/>
    </xf>
    <xf numFmtId="44" fontId="8" fillId="0" borderId="3" xfId="2" applyNumberFormat="1" applyFont="1" applyFill="1" applyBorder="1" applyAlignment="1">
      <alignment vertical="center"/>
    </xf>
    <xf numFmtId="170" fontId="8" fillId="0" borderId="3" xfId="2" applyNumberFormat="1" applyFont="1" applyBorder="1" applyAlignment="1">
      <alignment vertical="center"/>
    </xf>
    <xf numFmtId="170" fontId="8" fillId="0" borderId="3" xfId="2" applyNumberFormat="1" applyFont="1" applyFill="1" applyBorder="1" applyAlignment="1">
      <alignment vertical="center"/>
    </xf>
    <xf numFmtId="171" fontId="8" fillId="0" borderId="3" xfId="2" applyNumberFormat="1" applyFont="1" applyBorder="1" applyAlignment="1">
      <alignment vertical="center"/>
    </xf>
    <xf numFmtId="44" fontId="8" fillId="0" borderId="3" xfId="2" applyFont="1" applyFill="1" applyBorder="1" applyAlignment="1">
      <alignment vertical="center"/>
    </xf>
    <xf numFmtId="44" fontId="8" fillId="0" borderId="3" xfId="2" applyFont="1" applyBorder="1" applyAlignment="1">
      <alignment vertical="center"/>
    </xf>
    <xf numFmtId="172" fontId="8" fillId="0" borderId="3" xfId="2" applyNumberFormat="1" applyFont="1" applyBorder="1" applyAlignment="1">
      <alignment vertical="center"/>
    </xf>
    <xf numFmtId="44" fontId="8" fillId="0" borderId="3" xfId="2" applyNumberFormat="1" applyFont="1" applyBorder="1" applyAlignment="1">
      <alignment vertical="center"/>
    </xf>
    <xf numFmtId="0" fontId="9" fillId="2" borderId="2" xfId="0" applyFont="1" applyFill="1" applyBorder="1" applyAlignment="1">
      <alignment horizontal="left" vertical="center"/>
    </xf>
    <xf numFmtId="178" fontId="8" fillId="0" borderId="2" xfId="2" applyNumberFormat="1" applyFont="1" applyBorder="1" applyAlignment="1">
      <alignment vertical="center"/>
    </xf>
    <xf numFmtId="178" fontId="8" fillId="0" borderId="3" xfId="2" applyNumberFormat="1" applyFont="1" applyBorder="1" applyAlignment="1">
      <alignment vertical="center"/>
    </xf>
    <xf numFmtId="43" fontId="4" fillId="0" borderId="2" xfId="1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center" vertical="center"/>
    </xf>
    <xf numFmtId="43" fontId="6" fillId="0" borderId="2" xfId="0" applyNumberFormat="1" applyFont="1" applyFill="1" applyBorder="1"/>
    <xf numFmtId="43" fontId="3" fillId="0" borderId="2" xfId="1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/>
    <xf numFmtId="43" fontId="21" fillId="0" borderId="0" xfId="1" applyFont="1" applyFill="1" applyAlignment="1"/>
    <xf numFmtId="172" fontId="8" fillId="0" borderId="2" xfId="2" applyNumberFormat="1" applyFont="1" applyFill="1" applyBorder="1" applyAlignment="1">
      <alignment vertical="center"/>
    </xf>
    <xf numFmtId="44" fontId="9" fillId="0" borderId="2" xfId="2" applyNumberFormat="1" applyFont="1" applyBorder="1" applyAlignment="1">
      <alignment vertical="center"/>
    </xf>
    <xf numFmtId="172" fontId="0" fillId="0" borderId="0" xfId="0" applyNumberFormat="1" applyBorder="1"/>
    <xf numFmtId="172" fontId="0" fillId="0" borderId="0" xfId="0" applyNumberFormat="1"/>
    <xf numFmtId="44" fontId="9" fillId="0" borderId="3" xfId="2" applyNumberFormat="1" applyFont="1" applyBorder="1" applyAlignment="1">
      <alignment vertical="center"/>
    </xf>
    <xf numFmtId="43" fontId="19" fillId="3" borderId="32" xfId="0" applyNumberFormat="1" applyFont="1" applyFill="1" applyBorder="1" applyAlignment="1">
      <alignment horizontal="left"/>
    </xf>
    <xf numFmtId="43" fontId="19" fillId="3" borderId="1" xfId="0" applyNumberFormat="1" applyFont="1" applyFill="1" applyBorder="1" applyAlignment="1">
      <alignment horizontal="left"/>
    </xf>
    <xf numFmtId="43" fontId="19" fillId="3" borderId="4" xfId="0" applyNumberFormat="1" applyFont="1" applyFill="1" applyBorder="1" applyAlignment="1">
      <alignment horizontal="left"/>
    </xf>
    <xf numFmtId="43" fontId="5" fillId="4" borderId="3" xfId="0" applyNumberFormat="1" applyFont="1" applyFill="1" applyBorder="1" applyAlignment="1">
      <alignment horizontal="left"/>
    </xf>
    <xf numFmtId="43" fontId="5" fillId="4" borderId="1" xfId="0" applyNumberFormat="1" applyFont="1" applyFill="1" applyBorder="1" applyAlignment="1">
      <alignment horizontal="left"/>
    </xf>
    <xf numFmtId="43" fontId="5" fillId="4" borderId="4" xfId="0" applyNumberFormat="1" applyFont="1" applyFill="1" applyBorder="1" applyAlignment="1">
      <alignment horizontal="left"/>
    </xf>
    <xf numFmtId="43" fontId="5" fillId="4" borderId="33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left"/>
    </xf>
    <xf numFmtId="0" fontId="11" fillId="3" borderId="33" xfId="0" applyFont="1" applyFill="1" applyBorder="1" applyAlignment="1">
      <alignment horizontal="left"/>
    </xf>
    <xf numFmtId="43" fontId="11" fillId="3" borderId="3" xfId="0" applyNumberFormat="1" applyFont="1" applyFill="1" applyBorder="1" applyAlignment="1">
      <alignment horizontal="left"/>
    </xf>
    <xf numFmtId="43" fontId="11" fillId="3" borderId="1" xfId="0" applyNumberFormat="1" applyFont="1" applyFill="1" applyBorder="1" applyAlignment="1">
      <alignment horizontal="left"/>
    </xf>
    <xf numFmtId="43" fontId="11" fillId="3" borderId="33" xfId="0" applyNumberFormat="1" applyFont="1" applyFill="1" applyBorder="1" applyAlignment="1">
      <alignment horizontal="left"/>
    </xf>
    <xf numFmtId="43" fontId="6" fillId="3" borderId="3" xfId="0" applyNumberFormat="1" applyFont="1" applyFill="1" applyBorder="1" applyAlignment="1">
      <alignment horizontal="center" vertical="center"/>
    </xf>
    <xf numFmtId="43" fontId="6" fillId="3" borderId="1" xfId="0" applyNumberFormat="1" applyFont="1" applyFill="1" applyBorder="1" applyAlignment="1">
      <alignment horizontal="center" vertical="center"/>
    </xf>
    <xf numFmtId="43" fontId="6" fillId="3" borderId="3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5" fillId="4" borderId="33" xfId="0" applyFont="1" applyFill="1" applyBorder="1" applyAlignment="1">
      <alignment horizontal="left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164" fontId="12" fillId="3" borderId="25" xfId="1" applyNumberFormat="1" applyFont="1" applyFill="1" applyBorder="1" applyAlignment="1">
      <alignment horizontal="center"/>
    </xf>
    <xf numFmtId="164" fontId="12" fillId="3" borderId="9" xfId="1" applyNumberFormat="1" applyFont="1" applyFill="1" applyBorder="1" applyAlignment="1">
      <alignment horizontal="center"/>
    </xf>
    <xf numFmtId="164" fontId="12" fillId="3" borderId="26" xfId="1" applyNumberFormat="1" applyFont="1" applyFill="1" applyBorder="1" applyAlignment="1">
      <alignment horizontal="center"/>
    </xf>
    <xf numFmtId="166" fontId="5" fillId="0" borderId="27" xfId="0" applyNumberFormat="1" applyFont="1" applyBorder="1" applyAlignment="1">
      <alignment horizontal="center" vertical="center"/>
    </xf>
    <xf numFmtId="166" fontId="5" fillId="0" borderId="1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3" fontId="5" fillId="0" borderId="6" xfId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43" fontId="5" fillId="0" borderId="6" xfId="1" applyFont="1" applyFill="1" applyBorder="1" applyAlignment="1">
      <alignment horizontal="center" vertical="center"/>
    </xf>
    <xf numFmtId="44" fontId="5" fillId="0" borderId="6" xfId="2" applyFont="1" applyFill="1" applyBorder="1" applyAlignment="1">
      <alignment horizontal="center" vertical="center"/>
    </xf>
    <xf numFmtId="44" fontId="5" fillId="0" borderId="28" xfId="2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43" fontId="12" fillId="3" borderId="3" xfId="1" applyFont="1" applyFill="1" applyBorder="1" applyAlignment="1">
      <alignment horizontal="center"/>
    </xf>
    <xf numFmtId="43" fontId="12" fillId="3" borderId="1" xfId="1" applyFont="1" applyFill="1" applyBorder="1" applyAlignment="1">
      <alignment horizontal="center"/>
    </xf>
    <xf numFmtId="43" fontId="12" fillId="3" borderId="4" xfId="1" applyFont="1" applyFill="1" applyBorder="1" applyAlignment="1">
      <alignment horizontal="center"/>
    </xf>
    <xf numFmtId="43" fontId="7" fillId="3" borderId="30" xfId="1" applyFont="1" applyFill="1" applyBorder="1" applyAlignment="1">
      <alignment horizontal="center"/>
    </xf>
    <xf numFmtId="43" fontId="7" fillId="3" borderId="31" xfId="1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left" vertical="center"/>
    </xf>
    <xf numFmtId="0" fontId="9" fillId="8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44" fontId="29" fillId="7" borderId="3" xfId="2" applyNumberFormat="1" applyFont="1" applyFill="1" applyBorder="1" applyAlignment="1">
      <alignment horizontal="center" vertical="center"/>
    </xf>
    <xf numFmtId="44" fontId="29" fillId="7" borderId="1" xfId="2" applyNumberFormat="1" applyFont="1" applyFill="1" applyBorder="1" applyAlignment="1">
      <alignment horizontal="center" vertical="center"/>
    </xf>
    <xf numFmtId="44" fontId="29" fillId="7" borderId="4" xfId="2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20" fillId="7" borderId="4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44" fontId="9" fillId="2" borderId="3" xfId="2" applyFont="1" applyFill="1" applyBorder="1" applyAlignment="1">
      <alignment horizontal="center" vertical="center"/>
    </xf>
    <xf numFmtId="44" fontId="9" fillId="2" borderId="1" xfId="2" applyFont="1" applyFill="1" applyBorder="1" applyAlignment="1">
      <alignment horizontal="center" vertical="center"/>
    </xf>
    <xf numFmtId="44" fontId="9" fillId="2" borderId="4" xfId="2" applyFont="1" applyFill="1" applyBorder="1" applyAlignment="1">
      <alignment horizontal="center" vertical="center"/>
    </xf>
    <xf numFmtId="170" fontId="9" fillId="8" borderId="2" xfId="0" applyNumberFormat="1" applyFont="1" applyFill="1" applyBorder="1" applyAlignment="1">
      <alignment horizontal="left" vertical="center"/>
    </xf>
    <xf numFmtId="170" fontId="9" fillId="8" borderId="3" xfId="0" applyNumberFormat="1" applyFont="1" applyFill="1" applyBorder="1" applyAlignment="1">
      <alignment horizontal="left" vertical="center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12" fillId="2" borderId="21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</cellXfs>
  <cellStyles count="9">
    <cellStyle name="Hyperlink" xfId="4" xr:uid="{A67E0F7F-E312-4D95-8355-7AE913D833F6}"/>
    <cellStyle name="Moeda" xfId="2" builtinId="4"/>
    <cellStyle name="Moeda 2" xfId="8" xr:uid="{6CB84A60-FEE8-43E8-8CE3-A966EB6CBD71}"/>
    <cellStyle name="Normal" xfId="0" builtinId="0"/>
    <cellStyle name="Normal 2" xfId="5" xr:uid="{ED6CAE08-B95D-40FF-84A3-46F64D6D97AD}"/>
    <cellStyle name="Porcentagem" xfId="6" builtinId="5"/>
    <cellStyle name="Vírgula" xfId="1" builtinId="3"/>
    <cellStyle name="Vírgula 2" xfId="7" xr:uid="{EC157827-6A5E-4C13-8DE6-76CDFA5645AB}"/>
    <cellStyle name="Vírgula 2 2" xfId="3" xr:uid="{BDCB1D99-9724-40C3-9E3F-F8A26BA58B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ailto:pisostateis@mosaik.com.br" TargetMode="External"/><Relationship Id="rId2" Type="http://schemas.openxmlformats.org/officeDocument/2006/relationships/hyperlink" Target="mailto:locpam@locpam.com.br" TargetMode="External"/><Relationship Id="rId1" Type="http://schemas.openxmlformats.org/officeDocument/2006/relationships/hyperlink" Target="mailto:cristalvidrospm@yahoo.com.br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B27E0-A6E9-4147-A654-AA1D7EC00641}">
  <sheetPr>
    <pageSetUpPr fitToPage="1"/>
  </sheetPr>
  <dimension ref="A1:R260"/>
  <sheetViews>
    <sheetView tabSelected="1" zoomScale="120" zoomScaleNormal="120" workbookViewId="0">
      <pane xSplit="1" topLeftCell="B1" activePane="topRight" state="frozen"/>
      <selection pane="topRight" activeCell="F221" sqref="F221"/>
    </sheetView>
  </sheetViews>
  <sheetFormatPr defaultColWidth="9.140625" defaultRowHeight="11.25" x14ac:dyDescent="0.2"/>
  <cols>
    <col min="1" max="1" width="5.85546875" style="1" customWidth="1"/>
    <col min="2" max="2" width="8.85546875" style="1" customWidth="1"/>
    <col min="3" max="3" width="8.28515625" style="1" customWidth="1"/>
    <col min="4" max="4" width="42.5703125" style="1" customWidth="1"/>
    <col min="5" max="5" width="7.7109375" style="1" customWidth="1"/>
    <col min="6" max="6" width="8.140625" style="3" bestFit="1" customWidth="1"/>
    <col min="7" max="7" width="9.28515625" style="36" bestFit="1" customWidth="1"/>
    <col min="8" max="8" width="11.85546875" style="40" bestFit="1" customWidth="1"/>
    <col min="9" max="9" width="9.7109375" style="41" bestFit="1" customWidth="1"/>
    <col min="10" max="10" width="11.85546875" style="1" bestFit="1" customWidth="1"/>
    <col min="11" max="11" width="9.140625" style="1"/>
    <col min="12" max="12" width="5.85546875" style="1" bestFit="1" customWidth="1"/>
    <col min="13" max="13" width="10.7109375" style="3" bestFit="1" customWidth="1"/>
    <col min="14" max="14" width="41" style="1" bestFit="1" customWidth="1"/>
    <col min="15" max="15" width="15" style="1" customWidth="1"/>
    <col min="16" max="16" width="9.140625" style="1"/>
    <col min="17" max="17" width="10.5703125" style="1" bestFit="1" customWidth="1"/>
    <col min="18" max="16384" width="9.140625" style="1"/>
  </cols>
  <sheetData>
    <row r="1" spans="1:15" ht="24" customHeight="1" x14ac:dyDescent="0.25">
      <c r="A1" s="253" t="s">
        <v>0</v>
      </c>
      <c r="B1" s="254"/>
      <c r="C1" s="254"/>
      <c r="D1" s="254"/>
      <c r="E1" s="254"/>
      <c r="F1" s="259" t="s">
        <v>1</v>
      </c>
      <c r="G1" s="260"/>
      <c r="H1" s="260"/>
      <c r="I1" s="259"/>
      <c r="J1" s="261"/>
    </row>
    <row r="2" spans="1:15" ht="22.5" customHeight="1" x14ac:dyDescent="0.25">
      <c r="A2" s="255"/>
      <c r="B2" s="256"/>
      <c r="C2" s="256"/>
      <c r="D2" s="256"/>
      <c r="E2" s="256"/>
      <c r="F2" s="277" t="s">
        <v>37</v>
      </c>
      <c r="G2" s="278"/>
      <c r="H2" s="279"/>
      <c r="I2" s="52" t="s">
        <v>2</v>
      </c>
      <c r="J2" s="53">
        <v>0.25</v>
      </c>
    </row>
    <row r="3" spans="1:15" ht="20.25" customHeight="1" thickBot="1" x14ac:dyDescent="0.25">
      <c r="A3" s="257"/>
      <c r="B3" s="258"/>
      <c r="C3" s="258"/>
      <c r="D3" s="258"/>
      <c r="E3" s="258"/>
      <c r="F3" s="280"/>
      <c r="G3" s="281"/>
      <c r="H3" s="54">
        <f>SUM(H7:H214)</f>
        <v>640830.02999999991</v>
      </c>
      <c r="I3" s="55"/>
      <c r="J3" s="56">
        <f>SUM(J9,J10,J11,J12,J13,J14,J16,J17,J18,J19,J21,J22,J23,J25,J26,J28,J29,J30,J31,J32,J33,J34,J35,J37,J38,J39,J40,J41,J42,J43,J44,J46,J47,J48,J49,J51,J52,J57,J58,J59,J60,J61,J62,J64,J65,J66,J68,J72,J76,J77,J78,J79,J80,J81,J82,J83,J84,J85,J86,J89,J90:J91,J92,J93,J95,J96,J97,J98,J99,J100,J101,J102,J103,J105,J107,J108,J110,J112,J114,J118,J119,J120,J122,J124,J126,J127,J131,J133,J135,J136,J140,J141,J145,J147:J149,J153,J154,J155,J156,J157,J158,J160,J161,J162:J192,J194,J198,J201,J204,J207,J208,J209,J210,J211,J212,J213)</f>
        <v>801049.02000000014</v>
      </c>
      <c r="L3" s="122"/>
      <c r="N3" s="148"/>
      <c r="O3" s="149"/>
    </row>
    <row r="4" spans="1:15" ht="15" customHeight="1" x14ac:dyDescent="0.2">
      <c r="A4" s="262" t="s">
        <v>10</v>
      </c>
      <c r="B4" s="273" t="s">
        <v>236</v>
      </c>
      <c r="C4" s="274"/>
      <c r="D4" s="264" t="s">
        <v>3</v>
      </c>
      <c r="E4" s="266" t="s">
        <v>4</v>
      </c>
      <c r="F4" s="268" t="s">
        <v>5</v>
      </c>
      <c r="G4" s="270" t="s">
        <v>6</v>
      </c>
      <c r="H4" s="270"/>
      <c r="I4" s="271" t="s">
        <v>7</v>
      </c>
      <c r="J4" s="272"/>
    </row>
    <row r="5" spans="1:15" ht="23.25" customHeight="1" x14ac:dyDescent="0.2">
      <c r="A5" s="263"/>
      <c r="B5" s="275" t="s">
        <v>504</v>
      </c>
      <c r="C5" s="276"/>
      <c r="D5" s="265"/>
      <c r="E5" s="267"/>
      <c r="F5" s="269"/>
      <c r="G5" s="7" t="s">
        <v>8</v>
      </c>
      <c r="H5" s="7" t="s">
        <v>9</v>
      </c>
      <c r="I5" s="7" t="s">
        <v>8</v>
      </c>
      <c r="J5" s="17" t="s">
        <v>9</v>
      </c>
    </row>
    <row r="6" spans="1:15" ht="36" customHeight="1" x14ac:dyDescent="0.2">
      <c r="A6" s="18"/>
      <c r="B6" s="6"/>
      <c r="C6" s="49"/>
      <c r="D6" s="96" t="s">
        <v>488</v>
      </c>
      <c r="E6" s="51"/>
      <c r="F6" s="51"/>
      <c r="G6" s="51"/>
      <c r="H6" s="51"/>
      <c r="I6" s="2"/>
      <c r="J6" s="19"/>
    </row>
    <row r="7" spans="1:15" ht="12.75" x14ac:dyDescent="0.2">
      <c r="A7" s="34">
        <v>1</v>
      </c>
      <c r="B7" s="35"/>
      <c r="C7" s="241" t="s">
        <v>38</v>
      </c>
      <c r="D7" s="242"/>
      <c r="E7" s="242"/>
      <c r="F7" s="242"/>
      <c r="G7" s="242"/>
      <c r="H7" s="242"/>
      <c r="I7" s="242"/>
      <c r="J7" s="243"/>
      <c r="K7" s="28"/>
    </row>
    <row r="8" spans="1:15" x14ac:dyDescent="0.2">
      <c r="A8" s="32" t="s">
        <v>47</v>
      </c>
      <c r="B8" s="33"/>
      <c r="C8" s="250" t="s">
        <v>77</v>
      </c>
      <c r="D8" s="251"/>
      <c r="E8" s="251"/>
      <c r="F8" s="251"/>
      <c r="G8" s="251"/>
      <c r="H8" s="251"/>
      <c r="I8" s="251"/>
      <c r="J8" s="252"/>
    </row>
    <row r="9" spans="1:15" x14ac:dyDescent="0.2">
      <c r="A9" s="150"/>
      <c r="B9" s="151" t="s">
        <v>39</v>
      </c>
      <c r="C9" s="152" t="s">
        <v>234</v>
      </c>
      <c r="D9" s="153" t="s">
        <v>40</v>
      </c>
      <c r="E9" s="154" t="s">
        <v>41</v>
      </c>
      <c r="F9" s="155">
        <v>925</v>
      </c>
      <c r="G9" s="156">
        <v>10.17</v>
      </c>
      <c r="H9" s="30">
        <f>ROUND((+F9*G9),2)</f>
        <v>9407.25</v>
      </c>
      <c r="I9" s="29">
        <f>ROUND((G9*$J$2)+G9,2)</f>
        <v>12.71</v>
      </c>
      <c r="J9" s="31">
        <f>ROUND((F9*I9),2)</f>
        <v>11756.75</v>
      </c>
      <c r="L9" s="122"/>
    </row>
    <row r="10" spans="1:15" x14ac:dyDescent="0.2">
      <c r="A10" s="150"/>
      <c r="B10" s="157" t="s">
        <v>42</v>
      </c>
      <c r="C10" s="158" t="s">
        <v>234</v>
      </c>
      <c r="D10" s="159" t="s">
        <v>43</v>
      </c>
      <c r="E10" s="157" t="s">
        <v>41</v>
      </c>
      <c r="F10" s="155">
        <v>460.8</v>
      </c>
      <c r="G10" s="160">
        <v>10.45</v>
      </c>
      <c r="H10" s="30">
        <f>ROUND((+F10*G10),2)</f>
        <v>4815.3599999999997</v>
      </c>
      <c r="I10" s="29">
        <f>ROUND((G10*$J$2)+G10,2)</f>
        <v>13.06</v>
      </c>
      <c r="J10" s="31">
        <f>ROUND((F10*I10),2)</f>
        <v>6018.05</v>
      </c>
    </row>
    <row r="11" spans="1:15" ht="22.5" x14ac:dyDescent="0.2">
      <c r="A11" s="150"/>
      <c r="B11" s="157" t="s">
        <v>44</v>
      </c>
      <c r="C11" s="158" t="s">
        <v>234</v>
      </c>
      <c r="D11" s="159" t="s">
        <v>45</v>
      </c>
      <c r="E11" s="157" t="s">
        <v>41</v>
      </c>
      <c r="F11" s="155">
        <v>925</v>
      </c>
      <c r="G11" s="160">
        <v>26.83</v>
      </c>
      <c r="H11" s="30">
        <f t="shared" ref="H11:H14" si="0">ROUND((+F11*G11),2)</f>
        <v>24817.75</v>
      </c>
      <c r="I11" s="29">
        <f t="shared" ref="I11:I14" si="1">ROUND((G11*$J$2)+G11,2)</f>
        <v>33.54</v>
      </c>
      <c r="J11" s="31">
        <f t="shared" ref="J11:J14" si="2">ROUND((F11*I11),2)</f>
        <v>31024.5</v>
      </c>
    </row>
    <row r="12" spans="1:15" ht="22.5" x14ac:dyDescent="0.2">
      <c r="A12" s="150"/>
      <c r="B12" s="157" t="s">
        <v>44</v>
      </c>
      <c r="C12" s="158" t="s">
        <v>234</v>
      </c>
      <c r="D12" s="159" t="s">
        <v>46</v>
      </c>
      <c r="E12" s="157" t="s">
        <v>41</v>
      </c>
      <c r="F12" s="155">
        <v>460.8</v>
      </c>
      <c r="G12" s="160">
        <v>26.83</v>
      </c>
      <c r="H12" s="30">
        <f t="shared" si="0"/>
        <v>12363.26</v>
      </c>
      <c r="I12" s="29">
        <f t="shared" si="1"/>
        <v>33.54</v>
      </c>
      <c r="J12" s="31">
        <f t="shared" si="2"/>
        <v>15455.23</v>
      </c>
    </row>
    <row r="13" spans="1:15" ht="22.5" x14ac:dyDescent="0.2">
      <c r="A13" s="163"/>
      <c r="B13" s="158" t="s">
        <v>234</v>
      </c>
      <c r="C13" s="158" t="s">
        <v>235</v>
      </c>
      <c r="D13" s="159" t="s">
        <v>353</v>
      </c>
      <c r="E13" s="158" t="s">
        <v>60</v>
      </c>
      <c r="F13" s="29">
        <f>SUM(43*4)</f>
        <v>172</v>
      </c>
      <c r="G13" s="222">
        <v>25.25</v>
      </c>
      <c r="H13" s="30">
        <f t="shared" si="0"/>
        <v>4343</v>
      </c>
      <c r="I13" s="29">
        <f t="shared" si="1"/>
        <v>31.56</v>
      </c>
      <c r="J13" s="31">
        <f t="shared" si="2"/>
        <v>5428.32</v>
      </c>
    </row>
    <row r="14" spans="1:15" ht="33.75" x14ac:dyDescent="0.2">
      <c r="A14" s="150"/>
      <c r="B14" s="158" t="s">
        <v>232</v>
      </c>
      <c r="C14" s="158" t="s">
        <v>234</v>
      </c>
      <c r="D14" s="159" t="s">
        <v>354</v>
      </c>
      <c r="E14" s="157" t="s">
        <v>41</v>
      </c>
      <c r="F14" s="29">
        <v>1</v>
      </c>
      <c r="G14" s="160">
        <v>29.3</v>
      </c>
      <c r="H14" s="30">
        <f t="shared" si="0"/>
        <v>29.3</v>
      </c>
      <c r="I14" s="29">
        <f t="shared" si="1"/>
        <v>36.630000000000003</v>
      </c>
      <c r="J14" s="31">
        <f t="shared" si="2"/>
        <v>36.630000000000003</v>
      </c>
    </row>
    <row r="15" spans="1:15" x14ac:dyDescent="0.2">
      <c r="A15" s="161" t="s">
        <v>52</v>
      </c>
      <c r="B15" s="162"/>
      <c r="C15" s="236" t="s">
        <v>48</v>
      </c>
      <c r="D15" s="237"/>
      <c r="E15" s="237"/>
      <c r="F15" s="237"/>
      <c r="G15" s="237"/>
      <c r="H15" s="237"/>
      <c r="I15" s="237"/>
      <c r="J15" s="239"/>
      <c r="K15" s="28"/>
    </row>
    <row r="16" spans="1:15" s="28" customFormat="1" ht="22.5" x14ac:dyDescent="0.2">
      <c r="A16" s="163"/>
      <c r="B16" s="152" t="s">
        <v>49</v>
      </c>
      <c r="C16" s="152" t="s">
        <v>234</v>
      </c>
      <c r="D16" s="153" t="s">
        <v>50</v>
      </c>
      <c r="E16" s="164" t="s">
        <v>51</v>
      </c>
      <c r="F16" s="29">
        <v>10.210000000000001</v>
      </c>
      <c r="G16" s="156">
        <v>2.38</v>
      </c>
      <c r="H16" s="30">
        <f>ROUND((+F16*G16),2)</f>
        <v>24.3</v>
      </c>
      <c r="I16" s="29">
        <f>ROUND((G16*$J$2)+G16,2)</f>
        <v>2.98</v>
      </c>
      <c r="J16" s="31">
        <f>ROUND((F16*I16),2)</f>
        <v>30.43</v>
      </c>
      <c r="L16" s="123"/>
      <c r="M16" s="141"/>
    </row>
    <row r="17" spans="1:13" ht="22.5" x14ac:dyDescent="0.2">
      <c r="A17" s="150"/>
      <c r="B17" s="158" t="s">
        <v>228</v>
      </c>
      <c r="C17" s="158" t="s">
        <v>234</v>
      </c>
      <c r="D17" s="159" t="s">
        <v>355</v>
      </c>
      <c r="E17" s="157" t="s">
        <v>41</v>
      </c>
      <c r="F17" s="29">
        <v>214.34</v>
      </c>
      <c r="G17" s="160">
        <v>18.03</v>
      </c>
      <c r="H17" s="30">
        <f>ROUND((+F17*G17),2)</f>
        <v>3864.55</v>
      </c>
      <c r="I17" s="29">
        <f>ROUND((G17*$J$2)+G17,2)</f>
        <v>22.54</v>
      </c>
      <c r="J17" s="31">
        <f>ROUND((F17*I17),2)</f>
        <v>4831.22</v>
      </c>
    </row>
    <row r="18" spans="1:13" x14ac:dyDescent="0.2">
      <c r="A18" s="150"/>
      <c r="B18" s="158" t="s">
        <v>498</v>
      </c>
      <c r="C18" s="158" t="s">
        <v>234</v>
      </c>
      <c r="D18" s="159" t="s">
        <v>230</v>
      </c>
      <c r="E18" s="157" t="s">
        <v>41</v>
      </c>
      <c r="F18" s="29">
        <v>21.61</v>
      </c>
      <c r="G18" s="160">
        <v>123.22</v>
      </c>
      <c r="H18" s="30">
        <f>ROUND((+F18*G18),2)</f>
        <v>2662.78</v>
      </c>
      <c r="I18" s="29">
        <f>ROUND((G18*$J$2)+G18,2)</f>
        <v>154.03</v>
      </c>
      <c r="J18" s="31">
        <f>ROUND((F18*I18),2)</f>
        <v>3328.59</v>
      </c>
    </row>
    <row r="19" spans="1:13" x14ac:dyDescent="0.2">
      <c r="A19" s="150"/>
      <c r="B19" s="157" t="s">
        <v>229</v>
      </c>
      <c r="C19" s="157" t="s">
        <v>234</v>
      </c>
      <c r="D19" s="159" t="s">
        <v>342</v>
      </c>
      <c r="E19" s="157" t="s">
        <v>60</v>
      </c>
      <c r="F19" s="29">
        <v>8</v>
      </c>
      <c r="G19" s="160">
        <v>22.8</v>
      </c>
      <c r="H19" s="30">
        <f>ROUND((+F19*G19),2)</f>
        <v>182.4</v>
      </c>
      <c r="I19" s="29">
        <f>ROUND((G19*$J$2)+G19,2)</f>
        <v>28.5</v>
      </c>
      <c r="J19" s="31">
        <f>ROUND((F19*I19),2)</f>
        <v>228</v>
      </c>
    </row>
    <row r="20" spans="1:13" x14ac:dyDescent="0.2">
      <c r="A20" s="161" t="s">
        <v>55</v>
      </c>
      <c r="B20" s="165"/>
      <c r="C20" s="236" t="s">
        <v>53</v>
      </c>
      <c r="D20" s="237"/>
      <c r="E20" s="237"/>
      <c r="F20" s="237"/>
      <c r="G20" s="237"/>
      <c r="H20" s="237"/>
      <c r="I20" s="237"/>
      <c r="J20" s="239"/>
      <c r="K20" s="28"/>
    </row>
    <row r="21" spans="1:13" x14ac:dyDescent="0.2">
      <c r="A21" s="150"/>
      <c r="B21" s="152" t="s">
        <v>436</v>
      </c>
      <c r="C21" s="152" t="s">
        <v>234</v>
      </c>
      <c r="D21" s="166" t="s">
        <v>437</v>
      </c>
      <c r="E21" s="154" t="s">
        <v>60</v>
      </c>
      <c r="F21" s="29">
        <v>18</v>
      </c>
      <c r="G21" s="156">
        <v>54.45</v>
      </c>
      <c r="H21" s="30">
        <f>ROUND((+F21*G21),2)</f>
        <v>980.1</v>
      </c>
      <c r="I21" s="29">
        <f>ROUND((G21*$J$2)+G21,2)</f>
        <v>68.06</v>
      </c>
      <c r="J21" s="31">
        <f>ROUND((F21*I21),2)</f>
        <v>1225.08</v>
      </c>
    </row>
    <row r="22" spans="1:13" s="28" customFormat="1" x14ac:dyDescent="0.2">
      <c r="A22" s="163"/>
      <c r="B22" s="223">
        <v>44073</v>
      </c>
      <c r="C22" s="152" t="s">
        <v>554</v>
      </c>
      <c r="D22" s="153" t="s">
        <v>553</v>
      </c>
      <c r="E22" s="164" t="s">
        <v>54</v>
      </c>
      <c r="F22" s="29">
        <v>57</v>
      </c>
      <c r="G22" s="156">
        <v>0.62</v>
      </c>
      <c r="H22" s="30">
        <f>ROUND((+F22*G22),2)</f>
        <v>35.340000000000003</v>
      </c>
      <c r="I22" s="29">
        <f>ROUND((G22*$J$2)+G22,2)</f>
        <v>0.78</v>
      </c>
      <c r="J22" s="31">
        <f>ROUND((F22*I22),2)</f>
        <v>44.46</v>
      </c>
      <c r="M22" s="141"/>
    </row>
    <row r="23" spans="1:13" s="28" customFormat="1" x14ac:dyDescent="0.2">
      <c r="A23" s="163"/>
      <c r="B23" s="158" t="s">
        <v>234</v>
      </c>
      <c r="C23" s="158" t="s">
        <v>235</v>
      </c>
      <c r="D23" s="159" t="s">
        <v>438</v>
      </c>
      <c r="E23" s="158" t="s">
        <v>60</v>
      </c>
      <c r="F23" s="29">
        <v>16</v>
      </c>
      <c r="G23" s="160">
        <v>15.92</v>
      </c>
      <c r="H23" s="30">
        <f>ROUND((+F23*G23),2)</f>
        <v>254.72</v>
      </c>
      <c r="I23" s="29">
        <f>ROUND((G23*$J$2)+G23,2)</f>
        <v>19.899999999999999</v>
      </c>
      <c r="J23" s="31">
        <f>ROUND((F23*I23),2)</f>
        <v>318.39999999999998</v>
      </c>
      <c r="M23" s="141"/>
    </row>
    <row r="24" spans="1:13" x14ac:dyDescent="0.2">
      <c r="A24" s="161" t="s">
        <v>75</v>
      </c>
      <c r="B24" s="165"/>
      <c r="C24" s="236" t="s">
        <v>56</v>
      </c>
      <c r="D24" s="237"/>
      <c r="E24" s="237"/>
      <c r="F24" s="237"/>
      <c r="G24" s="237"/>
      <c r="H24" s="237"/>
      <c r="I24" s="237"/>
      <c r="J24" s="239"/>
      <c r="K24" s="28"/>
    </row>
    <row r="25" spans="1:13" x14ac:dyDescent="0.2">
      <c r="A25" s="150"/>
      <c r="B25" s="151" t="s">
        <v>227</v>
      </c>
      <c r="C25" s="152" t="s">
        <v>234</v>
      </c>
      <c r="D25" s="153" t="s">
        <v>341</v>
      </c>
      <c r="E25" s="154" t="s">
        <v>41</v>
      </c>
      <c r="F25" s="29">
        <v>4.83</v>
      </c>
      <c r="G25" s="156">
        <v>2.5299999999999998</v>
      </c>
      <c r="H25" s="30">
        <f>ROUND((+F25*G25),2)</f>
        <v>12.22</v>
      </c>
      <c r="I25" s="29">
        <f>ROUND((G25*$J$2)+G25,2)</f>
        <v>3.16</v>
      </c>
      <c r="J25" s="31">
        <f>ROUND((F25*I25),2)</f>
        <v>15.26</v>
      </c>
    </row>
    <row r="26" spans="1:13" ht="22.5" x14ac:dyDescent="0.2">
      <c r="A26" s="150"/>
      <c r="B26" s="157" t="s">
        <v>58</v>
      </c>
      <c r="C26" s="158" t="s">
        <v>234</v>
      </c>
      <c r="D26" s="159" t="s">
        <v>343</v>
      </c>
      <c r="E26" s="157" t="s">
        <v>41</v>
      </c>
      <c r="F26" s="29">
        <v>4.83</v>
      </c>
      <c r="G26" s="160">
        <v>295.11</v>
      </c>
      <c r="H26" s="30">
        <f>ROUND((+F26*G26),2)</f>
        <v>1425.38</v>
      </c>
      <c r="I26" s="29">
        <f>ROUND((G26*$J$2)+G26,2)</f>
        <v>368.89</v>
      </c>
      <c r="J26" s="31">
        <f>ROUND((F26*I26),2)</f>
        <v>1781.74</v>
      </c>
    </row>
    <row r="27" spans="1:13" x14ac:dyDescent="0.2">
      <c r="A27" s="161" t="s">
        <v>479</v>
      </c>
      <c r="B27" s="167"/>
      <c r="C27" s="236" t="s">
        <v>65</v>
      </c>
      <c r="D27" s="237"/>
      <c r="E27" s="237"/>
      <c r="F27" s="237"/>
      <c r="G27" s="237"/>
      <c r="H27" s="237"/>
      <c r="I27" s="237"/>
      <c r="J27" s="239"/>
      <c r="K27" s="28"/>
    </row>
    <row r="28" spans="1:13" ht="22.5" x14ac:dyDescent="0.2">
      <c r="A28" s="150"/>
      <c r="B28" s="152" t="s">
        <v>499</v>
      </c>
      <c r="C28" s="152" t="s">
        <v>234</v>
      </c>
      <c r="D28" s="153" t="s">
        <v>62</v>
      </c>
      <c r="E28" s="154" t="s">
        <v>54</v>
      </c>
      <c r="F28" s="29">
        <v>155.4</v>
      </c>
      <c r="G28" s="156">
        <v>69.45</v>
      </c>
      <c r="H28" s="30">
        <f t="shared" ref="H28:H35" si="3">ROUND((+F28*G28),2)</f>
        <v>10792.53</v>
      </c>
      <c r="I28" s="29">
        <f t="shared" ref="I28:I127" si="4">ROUND((G28*$J$2)+G28,2)</f>
        <v>86.81</v>
      </c>
      <c r="J28" s="31">
        <f t="shared" ref="J28:J127" si="5">ROUND((F28*I28),2)</f>
        <v>13490.27</v>
      </c>
    </row>
    <row r="29" spans="1:13" ht="22.5" x14ac:dyDescent="0.2">
      <c r="A29" s="150"/>
      <c r="B29" s="152" t="s">
        <v>499</v>
      </c>
      <c r="C29" s="152" t="s">
        <v>234</v>
      </c>
      <c r="D29" s="153" t="s">
        <v>63</v>
      </c>
      <c r="E29" s="154" t="s">
        <v>54</v>
      </c>
      <c r="F29" s="29">
        <v>155.4</v>
      </c>
      <c r="G29" s="156">
        <v>69.45</v>
      </c>
      <c r="H29" s="30">
        <f t="shared" si="3"/>
        <v>10792.53</v>
      </c>
      <c r="I29" s="29">
        <f t="shared" si="4"/>
        <v>86.81</v>
      </c>
      <c r="J29" s="31">
        <f t="shared" si="5"/>
        <v>13490.27</v>
      </c>
    </row>
    <row r="30" spans="1:13" s="28" customFormat="1" ht="33.75" x14ac:dyDescent="0.2">
      <c r="A30" s="163"/>
      <c r="B30" s="151" t="s">
        <v>66</v>
      </c>
      <c r="C30" s="152" t="s">
        <v>234</v>
      </c>
      <c r="D30" s="153" t="s">
        <v>302</v>
      </c>
      <c r="E30" s="164" t="s">
        <v>54</v>
      </c>
      <c r="F30" s="29">
        <v>49.33</v>
      </c>
      <c r="G30" s="156">
        <v>4.3899999999999997</v>
      </c>
      <c r="H30" s="30">
        <f t="shared" si="3"/>
        <v>216.56</v>
      </c>
      <c r="I30" s="29">
        <f t="shared" si="4"/>
        <v>5.49</v>
      </c>
      <c r="J30" s="31">
        <f t="shared" si="5"/>
        <v>270.82</v>
      </c>
      <c r="M30" s="141"/>
    </row>
    <row r="31" spans="1:13" ht="34.5" customHeight="1" x14ac:dyDescent="0.2">
      <c r="A31" s="150"/>
      <c r="B31" s="151" t="s">
        <v>66</v>
      </c>
      <c r="C31" s="152" t="s">
        <v>234</v>
      </c>
      <c r="D31" s="153" t="s">
        <v>301</v>
      </c>
      <c r="E31" s="154" t="s">
        <v>54</v>
      </c>
      <c r="F31" s="29">
        <v>49.33</v>
      </c>
      <c r="G31" s="156">
        <v>4.3899999999999997</v>
      </c>
      <c r="H31" s="30">
        <f t="shared" si="3"/>
        <v>216.56</v>
      </c>
      <c r="I31" s="29">
        <f t="shared" si="4"/>
        <v>5.49</v>
      </c>
      <c r="J31" s="31">
        <f t="shared" si="5"/>
        <v>270.82</v>
      </c>
    </row>
    <row r="32" spans="1:13" ht="34.5" customHeight="1" x14ac:dyDescent="0.2">
      <c r="A32" s="150"/>
      <c r="B32" s="151" t="s">
        <v>66</v>
      </c>
      <c r="C32" s="152" t="s">
        <v>234</v>
      </c>
      <c r="D32" s="153" t="s">
        <v>300</v>
      </c>
      <c r="E32" s="154" t="s">
        <v>54</v>
      </c>
      <c r="F32" s="29">
        <v>49.33</v>
      </c>
      <c r="G32" s="156">
        <v>4.3899999999999997</v>
      </c>
      <c r="H32" s="30">
        <f t="shared" si="3"/>
        <v>216.56</v>
      </c>
      <c r="I32" s="29">
        <f t="shared" si="4"/>
        <v>5.49</v>
      </c>
      <c r="J32" s="31">
        <f t="shared" si="5"/>
        <v>270.82</v>
      </c>
    </row>
    <row r="33" spans="1:15" s="28" customFormat="1" ht="34.5" customHeight="1" x14ac:dyDescent="0.2">
      <c r="A33" s="163"/>
      <c r="B33" s="152" t="s">
        <v>67</v>
      </c>
      <c r="C33" s="152" t="s">
        <v>234</v>
      </c>
      <c r="D33" s="153" t="s">
        <v>299</v>
      </c>
      <c r="E33" s="164" t="s">
        <v>60</v>
      </c>
      <c r="F33" s="29">
        <v>2</v>
      </c>
      <c r="G33" s="156">
        <v>19.37</v>
      </c>
      <c r="H33" s="30">
        <f t="shared" si="3"/>
        <v>38.74</v>
      </c>
      <c r="I33" s="29">
        <f t="shared" si="4"/>
        <v>24.21</v>
      </c>
      <c r="J33" s="31">
        <f t="shared" si="5"/>
        <v>48.42</v>
      </c>
      <c r="M33" s="141"/>
    </row>
    <row r="34" spans="1:15" ht="34.5" customHeight="1" x14ac:dyDescent="0.2">
      <c r="A34" s="150"/>
      <c r="B34" s="168" t="s">
        <v>233</v>
      </c>
      <c r="C34" s="168" t="s">
        <v>234</v>
      </c>
      <c r="D34" s="169" t="s">
        <v>485</v>
      </c>
      <c r="E34" s="170" t="s">
        <v>60</v>
      </c>
      <c r="F34" s="171">
        <v>4</v>
      </c>
      <c r="G34" s="64">
        <v>141.57</v>
      </c>
      <c r="H34" s="30">
        <f t="shared" si="3"/>
        <v>566.28</v>
      </c>
      <c r="I34" s="29">
        <f t="shared" si="4"/>
        <v>176.96</v>
      </c>
      <c r="J34" s="31">
        <f t="shared" si="5"/>
        <v>707.84</v>
      </c>
    </row>
    <row r="35" spans="1:15" ht="34.5" customHeight="1" x14ac:dyDescent="0.2">
      <c r="A35" s="150"/>
      <c r="B35" s="168" t="s">
        <v>233</v>
      </c>
      <c r="C35" s="168" t="s">
        <v>234</v>
      </c>
      <c r="D35" s="169" t="s">
        <v>298</v>
      </c>
      <c r="E35" s="170" t="s">
        <v>60</v>
      </c>
      <c r="F35" s="171">
        <v>8</v>
      </c>
      <c r="G35" s="64">
        <v>141.57</v>
      </c>
      <c r="H35" s="30">
        <f t="shared" si="3"/>
        <v>1132.56</v>
      </c>
      <c r="I35" s="29">
        <f t="shared" si="4"/>
        <v>176.96</v>
      </c>
      <c r="J35" s="31">
        <f t="shared" si="5"/>
        <v>1415.68</v>
      </c>
    </row>
    <row r="36" spans="1:15" x14ac:dyDescent="0.2">
      <c r="A36" s="161" t="s">
        <v>61</v>
      </c>
      <c r="B36" s="167"/>
      <c r="C36" s="236" t="s">
        <v>69</v>
      </c>
      <c r="D36" s="237"/>
      <c r="E36" s="237"/>
      <c r="F36" s="237"/>
      <c r="G36" s="237"/>
      <c r="H36" s="237"/>
      <c r="I36" s="237"/>
      <c r="J36" s="239"/>
      <c r="K36" s="28"/>
    </row>
    <row r="37" spans="1:15" ht="56.25" x14ac:dyDescent="0.2">
      <c r="A37" s="172"/>
      <c r="B37" s="151" t="s">
        <v>71</v>
      </c>
      <c r="C37" s="152" t="s">
        <v>234</v>
      </c>
      <c r="D37" s="189" t="s">
        <v>356</v>
      </c>
      <c r="E37" s="154" t="s">
        <v>41</v>
      </c>
      <c r="F37" s="155">
        <f>SUM(85+43)</f>
        <v>128</v>
      </c>
      <c r="G37" s="173">
        <v>16.190000000000001</v>
      </c>
      <c r="H37" s="30">
        <f>ROUND((+F37*G37),2)</f>
        <v>2072.3200000000002</v>
      </c>
      <c r="I37" s="29">
        <f t="shared" si="4"/>
        <v>20.239999999999998</v>
      </c>
      <c r="J37" s="31">
        <f t="shared" si="5"/>
        <v>2590.7199999999998</v>
      </c>
      <c r="M37" s="142"/>
      <c r="N37" s="98"/>
      <c r="O37" s="98"/>
    </row>
    <row r="38" spans="1:15" ht="22.5" x14ac:dyDescent="0.2">
      <c r="A38" s="150"/>
      <c r="B38" s="151" t="s">
        <v>70</v>
      </c>
      <c r="C38" s="152" t="s">
        <v>234</v>
      </c>
      <c r="D38" s="153" t="s">
        <v>357</v>
      </c>
      <c r="E38" s="154" t="s">
        <v>41</v>
      </c>
      <c r="F38" s="155">
        <f>F9+187</f>
        <v>1112</v>
      </c>
      <c r="G38" s="156">
        <v>18.239999999999998</v>
      </c>
      <c r="H38" s="30">
        <f>ROUND((+F38*G38),2)</f>
        <v>20282.88</v>
      </c>
      <c r="I38" s="29">
        <f t="shared" si="4"/>
        <v>22.8</v>
      </c>
      <c r="J38" s="31">
        <f t="shared" si="5"/>
        <v>25353.599999999999</v>
      </c>
    </row>
    <row r="39" spans="1:15" ht="22.5" x14ac:dyDescent="0.2">
      <c r="A39" s="150"/>
      <c r="B39" s="151" t="s">
        <v>70</v>
      </c>
      <c r="C39" s="152" t="s">
        <v>234</v>
      </c>
      <c r="D39" s="153" t="s">
        <v>358</v>
      </c>
      <c r="E39" s="154" t="s">
        <v>41</v>
      </c>
      <c r="F39" s="155">
        <f>F10+42.5</f>
        <v>503.3</v>
      </c>
      <c r="G39" s="156">
        <v>18.239999999999998</v>
      </c>
      <c r="H39" s="30">
        <f t="shared" ref="H39" si="6">ROUND((+F39*G39),2)</f>
        <v>9180.19</v>
      </c>
      <c r="I39" s="29">
        <f t="shared" si="4"/>
        <v>22.8</v>
      </c>
      <c r="J39" s="31">
        <f t="shared" si="5"/>
        <v>11475.24</v>
      </c>
    </row>
    <row r="40" spans="1:15" ht="45" x14ac:dyDescent="0.2">
      <c r="A40" s="150"/>
      <c r="B40" s="151" t="s">
        <v>71</v>
      </c>
      <c r="C40" s="152" t="s">
        <v>234</v>
      </c>
      <c r="D40" s="153" t="s">
        <v>359</v>
      </c>
      <c r="E40" s="154" t="s">
        <v>41</v>
      </c>
      <c r="F40" s="29">
        <f>209+29.25+63.75+22.3+1.29+8.8</f>
        <v>334.39000000000004</v>
      </c>
      <c r="G40" s="156">
        <v>16.190000000000001</v>
      </c>
      <c r="H40" s="30">
        <f>ROUND((+F40*G40),2)</f>
        <v>5413.77</v>
      </c>
      <c r="I40" s="29">
        <f t="shared" si="4"/>
        <v>20.239999999999998</v>
      </c>
      <c r="J40" s="31">
        <f t="shared" si="5"/>
        <v>6768.05</v>
      </c>
    </row>
    <row r="41" spans="1:15" ht="22.5" x14ac:dyDescent="0.2">
      <c r="A41" s="174"/>
      <c r="B41" s="168" t="s">
        <v>237</v>
      </c>
      <c r="C41" s="168" t="s">
        <v>234</v>
      </c>
      <c r="D41" s="153" t="s">
        <v>344</v>
      </c>
      <c r="E41" s="175" t="s">
        <v>41</v>
      </c>
      <c r="F41" s="171">
        <v>996</v>
      </c>
      <c r="G41" s="37">
        <v>19.989999999999998</v>
      </c>
      <c r="H41" s="30">
        <f t="shared" ref="H41:H136" si="7">ROUND((+F41*G41),2)</f>
        <v>19910.04</v>
      </c>
      <c r="I41" s="29">
        <f t="shared" si="4"/>
        <v>24.99</v>
      </c>
      <c r="J41" s="31">
        <f t="shared" si="5"/>
        <v>24890.04</v>
      </c>
    </row>
    <row r="42" spans="1:15" x14ac:dyDescent="0.2">
      <c r="A42" s="174"/>
      <c r="B42" s="168" t="s">
        <v>227</v>
      </c>
      <c r="C42" s="168" t="s">
        <v>234</v>
      </c>
      <c r="D42" s="153" t="s">
        <v>241</v>
      </c>
      <c r="E42" s="175" t="s">
        <v>41</v>
      </c>
      <c r="F42" s="171">
        <v>530.19000000000005</v>
      </c>
      <c r="G42" s="37">
        <v>2.5299999999999998</v>
      </c>
      <c r="H42" s="30">
        <f t="shared" si="7"/>
        <v>1341.38</v>
      </c>
      <c r="I42" s="29">
        <f t="shared" si="4"/>
        <v>3.16</v>
      </c>
      <c r="J42" s="31">
        <f t="shared" si="5"/>
        <v>1675.4</v>
      </c>
    </row>
    <row r="43" spans="1:15" x14ac:dyDescent="0.2">
      <c r="A43" s="174"/>
      <c r="B43" s="168" t="s">
        <v>238</v>
      </c>
      <c r="C43" s="168" t="s">
        <v>234</v>
      </c>
      <c r="D43" s="153" t="s">
        <v>240</v>
      </c>
      <c r="E43" s="175" t="s">
        <v>41</v>
      </c>
      <c r="F43" s="171">
        <v>530.19000000000005</v>
      </c>
      <c r="G43" s="37">
        <v>18.45</v>
      </c>
      <c r="H43" s="30">
        <f t="shared" si="7"/>
        <v>9782.01</v>
      </c>
      <c r="I43" s="29">
        <f t="shared" si="4"/>
        <v>23.06</v>
      </c>
      <c r="J43" s="31">
        <f t="shared" si="5"/>
        <v>12226.18</v>
      </c>
    </row>
    <row r="44" spans="1:15" x14ac:dyDescent="0.2">
      <c r="A44" s="174"/>
      <c r="B44" s="168" t="s">
        <v>239</v>
      </c>
      <c r="C44" s="168" t="s">
        <v>234</v>
      </c>
      <c r="D44" s="153" t="s">
        <v>360</v>
      </c>
      <c r="E44" s="175" t="s">
        <v>60</v>
      </c>
      <c r="F44" s="176">
        <v>4</v>
      </c>
      <c r="G44" s="37">
        <v>223.92</v>
      </c>
      <c r="H44" s="30">
        <f t="shared" si="7"/>
        <v>895.68</v>
      </c>
      <c r="I44" s="29">
        <f t="shared" si="4"/>
        <v>279.89999999999998</v>
      </c>
      <c r="J44" s="31">
        <f t="shared" si="5"/>
        <v>1119.5999999999999</v>
      </c>
    </row>
    <row r="45" spans="1:15" x14ac:dyDescent="0.2">
      <c r="A45" s="161" t="s">
        <v>68</v>
      </c>
      <c r="B45" s="167"/>
      <c r="C45" s="236" t="s">
        <v>242</v>
      </c>
      <c r="D45" s="237"/>
      <c r="E45" s="237"/>
      <c r="F45" s="237"/>
      <c r="G45" s="237"/>
      <c r="H45" s="237"/>
      <c r="I45" s="237"/>
      <c r="J45" s="239"/>
      <c r="K45" s="28"/>
    </row>
    <row r="46" spans="1:15" ht="22.5" x14ac:dyDescent="0.2">
      <c r="A46" s="174"/>
      <c r="B46" s="152" t="s">
        <v>243</v>
      </c>
      <c r="C46" s="168" t="s">
        <v>234</v>
      </c>
      <c r="D46" s="153" t="s">
        <v>345</v>
      </c>
      <c r="E46" s="175" t="s">
        <v>41</v>
      </c>
      <c r="F46" s="176">
        <v>1412.48</v>
      </c>
      <c r="G46" s="37">
        <v>9.36</v>
      </c>
      <c r="H46" s="30">
        <f t="shared" si="7"/>
        <v>13220.81</v>
      </c>
      <c r="I46" s="29">
        <f t="shared" si="4"/>
        <v>11.7</v>
      </c>
      <c r="J46" s="31">
        <f t="shared" si="5"/>
        <v>16526.02</v>
      </c>
    </row>
    <row r="47" spans="1:15" ht="22.5" x14ac:dyDescent="0.2">
      <c r="A47" s="174"/>
      <c r="B47" s="151" t="s">
        <v>244</v>
      </c>
      <c r="C47" s="168" t="s">
        <v>234</v>
      </c>
      <c r="D47" s="153" t="s">
        <v>346</v>
      </c>
      <c r="E47" s="175" t="s">
        <v>41</v>
      </c>
      <c r="F47" s="176">
        <v>8.26</v>
      </c>
      <c r="G47" s="37">
        <v>8.98</v>
      </c>
      <c r="H47" s="30">
        <f t="shared" si="7"/>
        <v>74.17</v>
      </c>
      <c r="I47" s="29">
        <f t="shared" si="4"/>
        <v>11.23</v>
      </c>
      <c r="J47" s="31">
        <f t="shared" si="5"/>
        <v>92.76</v>
      </c>
    </row>
    <row r="48" spans="1:15" ht="22.5" x14ac:dyDescent="0.2">
      <c r="A48" s="174"/>
      <c r="B48" s="151" t="s">
        <v>72</v>
      </c>
      <c r="C48" s="168" t="s">
        <v>234</v>
      </c>
      <c r="D48" s="153" t="s">
        <v>73</v>
      </c>
      <c r="E48" s="175" t="s">
        <v>54</v>
      </c>
      <c r="F48" s="176">
        <v>202.75</v>
      </c>
      <c r="G48" s="37">
        <v>2.85</v>
      </c>
      <c r="H48" s="30">
        <f>ROUND((+F48*G48),2)</f>
        <v>577.84</v>
      </c>
      <c r="I48" s="29">
        <f>ROUND((G48*$J$2)+G48,2)</f>
        <v>3.56</v>
      </c>
      <c r="J48" s="31">
        <f>ROUND((F48*I48),2)</f>
        <v>721.79</v>
      </c>
    </row>
    <row r="49" spans="1:13" ht="22.5" x14ac:dyDescent="0.2">
      <c r="A49" s="174"/>
      <c r="B49" s="151" t="s">
        <v>243</v>
      </c>
      <c r="C49" s="168" t="s">
        <v>234</v>
      </c>
      <c r="D49" s="153" t="s">
        <v>245</v>
      </c>
      <c r="E49" s="175" t="s">
        <v>41</v>
      </c>
      <c r="F49" s="176">
        <v>10</v>
      </c>
      <c r="G49" s="37">
        <v>9.39</v>
      </c>
      <c r="H49" s="30">
        <f t="shared" si="7"/>
        <v>93.9</v>
      </c>
      <c r="I49" s="29">
        <f t="shared" si="4"/>
        <v>11.74</v>
      </c>
      <c r="J49" s="31">
        <f t="shared" si="5"/>
        <v>117.4</v>
      </c>
    </row>
    <row r="50" spans="1:13" x14ac:dyDescent="0.2">
      <c r="A50" s="161" t="s">
        <v>74</v>
      </c>
      <c r="B50" s="167"/>
      <c r="C50" s="236" t="s">
        <v>252</v>
      </c>
      <c r="D50" s="237"/>
      <c r="E50" s="237"/>
      <c r="F50" s="237"/>
      <c r="G50" s="237"/>
      <c r="H50" s="237"/>
      <c r="I50" s="237"/>
      <c r="J50" s="239"/>
      <c r="K50" s="28"/>
    </row>
    <row r="51" spans="1:13" s="28" customFormat="1" ht="22.5" x14ac:dyDescent="0.2">
      <c r="A51" s="186"/>
      <c r="B51" s="152" t="s">
        <v>234</v>
      </c>
      <c r="C51" s="168" t="s">
        <v>235</v>
      </c>
      <c r="D51" s="153" t="s">
        <v>256</v>
      </c>
      <c r="E51" s="170" t="s">
        <v>60</v>
      </c>
      <c r="F51" s="171">
        <v>1</v>
      </c>
      <c r="G51" s="64">
        <v>620</v>
      </c>
      <c r="H51" s="30">
        <f t="shared" ref="H51:H52" si="8">ROUND((+F51*G51),2)</f>
        <v>620</v>
      </c>
      <c r="I51" s="29">
        <f t="shared" ref="I51:I52" si="9">ROUND((G51*$J$2)+G51,2)</f>
        <v>775</v>
      </c>
      <c r="J51" s="31">
        <f t="shared" ref="J51:J52" si="10">ROUND((F51*I51),2)</f>
        <v>775</v>
      </c>
      <c r="M51" s="141"/>
    </row>
    <row r="52" spans="1:13" ht="33.75" x14ac:dyDescent="0.2">
      <c r="A52" s="174"/>
      <c r="B52" s="168" t="s">
        <v>250</v>
      </c>
      <c r="C52" s="168" t="s">
        <v>234</v>
      </c>
      <c r="D52" s="153" t="s">
        <v>253</v>
      </c>
      <c r="E52" s="175" t="s">
        <v>41</v>
      </c>
      <c r="F52" s="176">
        <v>1.1000000000000001</v>
      </c>
      <c r="G52" s="37">
        <v>70.52</v>
      </c>
      <c r="H52" s="30">
        <f t="shared" si="8"/>
        <v>77.569999999999993</v>
      </c>
      <c r="I52" s="29">
        <f t="shared" si="9"/>
        <v>88.15</v>
      </c>
      <c r="J52" s="31">
        <f t="shared" si="10"/>
        <v>96.97</v>
      </c>
    </row>
    <row r="53" spans="1:13" x14ac:dyDescent="0.2">
      <c r="A53" s="174"/>
      <c r="B53" s="151"/>
      <c r="C53" s="168"/>
      <c r="D53" s="166"/>
      <c r="E53" s="175"/>
      <c r="F53" s="176"/>
      <c r="G53" s="37"/>
      <c r="H53" s="30"/>
      <c r="I53" s="29"/>
      <c r="J53" s="31"/>
    </row>
    <row r="54" spans="1:13" ht="12" x14ac:dyDescent="0.2">
      <c r="A54" s="233" t="s">
        <v>76</v>
      </c>
      <c r="B54" s="234"/>
      <c r="C54" s="234"/>
      <c r="D54" s="234"/>
      <c r="E54" s="234"/>
      <c r="F54" s="234"/>
      <c r="G54" s="234"/>
      <c r="H54" s="234"/>
      <c r="I54" s="235"/>
      <c r="J54" s="177">
        <f>SUM(J9:J14,J16:J19,J21,J22:J23,J25:J26,J28:J35,J37:J44,J46:J49,J51:J52)</f>
        <v>215916.37</v>
      </c>
    </row>
    <row r="55" spans="1:13" ht="12.75" x14ac:dyDescent="0.2">
      <c r="A55" s="193">
        <v>2</v>
      </c>
      <c r="B55" s="178"/>
      <c r="C55" s="244" t="s">
        <v>489</v>
      </c>
      <c r="D55" s="245"/>
      <c r="E55" s="245"/>
      <c r="F55" s="245"/>
      <c r="G55" s="245"/>
      <c r="H55" s="245"/>
      <c r="I55" s="245"/>
      <c r="J55" s="246"/>
      <c r="K55" s="28"/>
    </row>
    <row r="56" spans="1:13" x14ac:dyDescent="0.2">
      <c r="A56" s="161" t="s">
        <v>16</v>
      </c>
      <c r="B56" s="167"/>
      <c r="C56" s="236" t="s">
        <v>255</v>
      </c>
      <c r="D56" s="237"/>
      <c r="E56" s="237"/>
      <c r="F56" s="237"/>
      <c r="G56" s="237"/>
      <c r="H56" s="237"/>
      <c r="I56" s="237"/>
      <c r="J56" s="239"/>
    </row>
    <row r="57" spans="1:13" ht="33.75" x14ac:dyDescent="0.2">
      <c r="A57" s="174"/>
      <c r="B57" s="168" t="s">
        <v>249</v>
      </c>
      <c r="C57" s="168" t="s">
        <v>234</v>
      </c>
      <c r="D57" s="169" t="s">
        <v>348</v>
      </c>
      <c r="E57" s="170" t="s">
        <v>41</v>
      </c>
      <c r="F57" s="171">
        <v>432.14</v>
      </c>
      <c r="G57" s="64">
        <v>14.23</v>
      </c>
      <c r="H57" s="30">
        <f t="shared" ref="H57:H62" si="11">ROUND((+F57*G57),2)</f>
        <v>6149.35</v>
      </c>
      <c r="I57" s="29">
        <f t="shared" ref="I57:I62" si="12">ROUND((G57*$J$2)+G57,2)</f>
        <v>17.79</v>
      </c>
      <c r="J57" s="31">
        <f t="shared" ref="J57:J62" si="13">ROUND((F57*I57),2)</f>
        <v>7687.77</v>
      </c>
    </row>
    <row r="58" spans="1:13" ht="22.5" x14ac:dyDescent="0.2">
      <c r="A58" s="174"/>
      <c r="B58" s="168" t="s">
        <v>251</v>
      </c>
      <c r="C58" s="168" t="s">
        <v>234</v>
      </c>
      <c r="D58" s="169" t="s">
        <v>254</v>
      </c>
      <c r="E58" s="175" t="s">
        <v>51</v>
      </c>
      <c r="F58" s="171">
        <f>SUM(432.14*0.5)</f>
        <v>216.07</v>
      </c>
      <c r="G58" s="64">
        <v>490.66</v>
      </c>
      <c r="H58" s="30">
        <f t="shared" si="11"/>
        <v>106016.91</v>
      </c>
      <c r="I58" s="29">
        <f t="shared" si="12"/>
        <v>613.33000000000004</v>
      </c>
      <c r="J58" s="31">
        <f t="shared" si="13"/>
        <v>132522.21</v>
      </c>
      <c r="L58" s="65"/>
    </row>
    <row r="59" spans="1:13" ht="33.75" x14ac:dyDescent="0.2">
      <c r="A59" s="174"/>
      <c r="B59" s="151" t="s">
        <v>246</v>
      </c>
      <c r="C59" s="168" t="s">
        <v>234</v>
      </c>
      <c r="D59" s="169" t="s">
        <v>79</v>
      </c>
      <c r="E59" s="175" t="s">
        <v>41</v>
      </c>
      <c r="F59" s="176">
        <v>10.28</v>
      </c>
      <c r="G59" s="64">
        <v>81.66</v>
      </c>
      <c r="H59" s="30">
        <f t="shared" si="11"/>
        <v>839.46</v>
      </c>
      <c r="I59" s="29">
        <f t="shared" si="12"/>
        <v>102.08</v>
      </c>
      <c r="J59" s="31">
        <f t="shared" si="13"/>
        <v>1049.3800000000001</v>
      </c>
    </row>
    <row r="60" spans="1:13" ht="33.75" x14ac:dyDescent="0.2">
      <c r="A60" s="174"/>
      <c r="B60" s="151" t="s">
        <v>247</v>
      </c>
      <c r="C60" s="168" t="s">
        <v>234</v>
      </c>
      <c r="D60" s="169" t="s">
        <v>80</v>
      </c>
      <c r="E60" s="175" t="s">
        <v>41</v>
      </c>
      <c r="F60" s="176">
        <v>31.93</v>
      </c>
      <c r="G60" s="64">
        <v>81.66</v>
      </c>
      <c r="H60" s="30">
        <f t="shared" si="11"/>
        <v>2607.4</v>
      </c>
      <c r="I60" s="29">
        <f t="shared" si="12"/>
        <v>102.08</v>
      </c>
      <c r="J60" s="31">
        <f t="shared" si="13"/>
        <v>3259.41</v>
      </c>
    </row>
    <row r="61" spans="1:13" ht="22.5" x14ac:dyDescent="0.2">
      <c r="A61" s="174"/>
      <c r="B61" s="158" t="s">
        <v>257</v>
      </c>
      <c r="C61" s="158" t="s">
        <v>234</v>
      </c>
      <c r="D61" s="159" t="s">
        <v>258</v>
      </c>
      <c r="E61" s="157" t="s">
        <v>41</v>
      </c>
      <c r="F61" s="176">
        <v>17.73</v>
      </c>
      <c r="G61" s="64">
        <v>18.03</v>
      </c>
      <c r="H61" s="30">
        <f t="shared" si="11"/>
        <v>319.67</v>
      </c>
      <c r="I61" s="29">
        <f t="shared" si="12"/>
        <v>22.54</v>
      </c>
      <c r="J61" s="31">
        <f t="shared" si="13"/>
        <v>399.63</v>
      </c>
    </row>
    <row r="62" spans="1:13" ht="22.5" x14ac:dyDescent="0.2">
      <c r="A62" s="174"/>
      <c r="B62" s="158" t="s">
        <v>259</v>
      </c>
      <c r="C62" s="158" t="s">
        <v>234</v>
      </c>
      <c r="D62" s="159" t="s">
        <v>347</v>
      </c>
      <c r="E62" s="157" t="s">
        <v>41</v>
      </c>
      <c r="F62" s="176">
        <v>4.2</v>
      </c>
      <c r="G62" s="64">
        <v>63.28</v>
      </c>
      <c r="H62" s="30">
        <f t="shared" si="11"/>
        <v>265.77999999999997</v>
      </c>
      <c r="I62" s="29">
        <f t="shared" si="12"/>
        <v>79.099999999999994</v>
      </c>
      <c r="J62" s="31">
        <f t="shared" si="13"/>
        <v>332.22</v>
      </c>
    </row>
    <row r="63" spans="1:13" x14ac:dyDescent="0.2">
      <c r="A63" s="161" t="s">
        <v>18</v>
      </c>
      <c r="B63" s="167"/>
      <c r="C63" s="236" t="s">
        <v>69</v>
      </c>
      <c r="D63" s="237"/>
      <c r="E63" s="237"/>
      <c r="F63" s="237"/>
      <c r="G63" s="237"/>
      <c r="H63" s="237"/>
      <c r="I63" s="237"/>
      <c r="J63" s="239"/>
      <c r="K63" s="28"/>
    </row>
    <row r="64" spans="1:13" ht="33.75" x14ac:dyDescent="0.2">
      <c r="A64" s="174"/>
      <c r="B64" s="151" t="s">
        <v>243</v>
      </c>
      <c r="C64" s="168" t="s">
        <v>234</v>
      </c>
      <c r="D64" s="169" t="s">
        <v>260</v>
      </c>
      <c r="E64" s="175" t="s">
        <v>41</v>
      </c>
      <c r="F64" s="176">
        <v>6</v>
      </c>
      <c r="G64" s="176">
        <v>9.36</v>
      </c>
      <c r="H64" s="30">
        <f t="shared" si="7"/>
        <v>56.16</v>
      </c>
      <c r="I64" s="29">
        <f t="shared" si="4"/>
        <v>11.7</v>
      </c>
      <c r="J64" s="31">
        <f t="shared" si="5"/>
        <v>70.2</v>
      </c>
    </row>
    <row r="65" spans="1:13" x14ac:dyDescent="0.2">
      <c r="A65" s="174"/>
      <c r="B65" s="168" t="s">
        <v>227</v>
      </c>
      <c r="C65" s="168" t="s">
        <v>234</v>
      </c>
      <c r="D65" s="153" t="s">
        <v>263</v>
      </c>
      <c r="E65" s="175" t="s">
        <v>41</v>
      </c>
      <c r="F65" s="176">
        <v>2</v>
      </c>
      <c r="G65" s="176">
        <v>2.5299999999999998</v>
      </c>
      <c r="H65" s="30">
        <f t="shared" si="7"/>
        <v>5.0599999999999996</v>
      </c>
      <c r="I65" s="29">
        <f t="shared" si="4"/>
        <v>3.16</v>
      </c>
      <c r="J65" s="31">
        <f t="shared" si="5"/>
        <v>6.32</v>
      </c>
    </row>
    <row r="66" spans="1:13" ht="33.75" x14ac:dyDescent="0.2">
      <c r="A66" s="174"/>
      <c r="B66" s="151" t="s">
        <v>262</v>
      </c>
      <c r="C66" s="168" t="s">
        <v>234</v>
      </c>
      <c r="D66" s="153" t="s">
        <v>264</v>
      </c>
      <c r="E66" s="175" t="s">
        <v>41</v>
      </c>
      <c r="F66" s="176">
        <v>2</v>
      </c>
      <c r="G66" s="176">
        <v>29.8</v>
      </c>
      <c r="H66" s="30">
        <f t="shared" si="7"/>
        <v>59.6</v>
      </c>
      <c r="I66" s="29">
        <f t="shared" si="4"/>
        <v>37.25</v>
      </c>
      <c r="J66" s="31">
        <f t="shared" si="5"/>
        <v>74.5</v>
      </c>
    </row>
    <row r="67" spans="1:13" x14ac:dyDescent="0.2">
      <c r="A67" s="161" t="s">
        <v>20</v>
      </c>
      <c r="B67" s="167"/>
      <c r="C67" s="236" t="s">
        <v>252</v>
      </c>
      <c r="D67" s="237"/>
      <c r="E67" s="237"/>
      <c r="F67" s="237"/>
      <c r="G67" s="237"/>
      <c r="H67" s="237"/>
      <c r="I67" s="237"/>
      <c r="J67" s="239"/>
      <c r="K67" s="28"/>
    </row>
    <row r="68" spans="1:13" ht="22.5" x14ac:dyDescent="0.2">
      <c r="A68" s="174"/>
      <c r="B68" s="168" t="s">
        <v>250</v>
      </c>
      <c r="C68" s="168" t="s">
        <v>234</v>
      </c>
      <c r="D68" s="169" t="s">
        <v>261</v>
      </c>
      <c r="E68" s="175" t="s">
        <v>41</v>
      </c>
      <c r="F68" s="171">
        <v>1</v>
      </c>
      <c r="G68" s="64">
        <v>70.52</v>
      </c>
      <c r="H68" s="30">
        <f t="shared" ref="H68" si="14">ROUND((+F68*G68),2)</f>
        <v>70.52</v>
      </c>
      <c r="I68" s="29">
        <f t="shared" ref="I68" si="15">ROUND((G68*$J$2)+G68,2)</f>
        <v>88.15</v>
      </c>
      <c r="J68" s="31">
        <f t="shared" ref="J68" si="16">ROUND((F68*I68),2)</f>
        <v>88.15</v>
      </c>
    </row>
    <row r="69" spans="1:13" ht="12" x14ac:dyDescent="0.2">
      <c r="A69" s="233" t="s">
        <v>76</v>
      </c>
      <c r="B69" s="234"/>
      <c r="C69" s="234"/>
      <c r="D69" s="234"/>
      <c r="E69" s="234"/>
      <c r="F69" s="234"/>
      <c r="G69" s="234"/>
      <c r="H69" s="234"/>
      <c r="I69" s="235"/>
      <c r="J69" s="177">
        <f>SUM(J57:J62,J64:J66,J68)</f>
        <v>145489.79</v>
      </c>
    </row>
    <row r="70" spans="1:13" ht="12.75" x14ac:dyDescent="0.2">
      <c r="A70" s="193">
        <v>3</v>
      </c>
      <c r="B70" s="178"/>
      <c r="C70" s="244" t="s">
        <v>81</v>
      </c>
      <c r="D70" s="245"/>
      <c r="E70" s="245"/>
      <c r="F70" s="245"/>
      <c r="G70" s="245"/>
      <c r="H70" s="245"/>
      <c r="I70" s="245"/>
      <c r="J70" s="246"/>
      <c r="K70" s="28"/>
    </row>
    <row r="71" spans="1:13" x14ac:dyDescent="0.2">
      <c r="A71" s="161" t="s">
        <v>23</v>
      </c>
      <c r="B71" s="167"/>
      <c r="C71" s="236" t="s">
        <v>82</v>
      </c>
      <c r="D71" s="237"/>
      <c r="E71" s="237"/>
      <c r="F71" s="237"/>
      <c r="G71" s="237"/>
      <c r="H71" s="237"/>
      <c r="I71" s="237"/>
      <c r="J71" s="238"/>
    </row>
    <row r="72" spans="1:13" ht="45" x14ac:dyDescent="0.2">
      <c r="A72" s="174"/>
      <c r="B72" s="151" t="s">
        <v>71</v>
      </c>
      <c r="C72" s="152" t="s">
        <v>234</v>
      </c>
      <c r="D72" s="153" t="s">
        <v>361</v>
      </c>
      <c r="E72" s="154" t="s">
        <v>41</v>
      </c>
      <c r="F72" s="171">
        <v>65</v>
      </c>
      <c r="G72" s="64">
        <v>16.190000000000001</v>
      </c>
      <c r="H72" s="30">
        <f t="shared" ref="H72" si="17">ROUND((+F72*G72),2)</f>
        <v>1052.3499999999999</v>
      </c>
      <c r="I72" s="29">
        <f t="shared" ref="I72" si="18">ROUND((G72*$J$2)+G72,2)</f>
        <v>20.239999999999998</v>
      </c>
      <c r="J72" s="31">
        <f t="shared" ref="J72" si="19">ROUND((F72*I72),2)</f>
        <v>1315.6</v>
      </c>
    </row>
    <row r="73" spans="1:13" ht="12" x14ac:dyDescent="0.2">
      <c r="A73" s="233" t="s">
        <v>76</v>
      </c>
      <c r="B73" s="234"/>
      <c r="C73" s="234"/>
      <c r="D73" s="234"/>
      <c r="E73" s="234"/>
      <c r="F73" s="234"/>
      <c r="G73" s="234"/>
      <c r="H73" s="234"/>
      <c r="I73" s="235"/>
      <c r="J73" s="177">
        <f>SUM(J72)</f>
        <v>1315.6</v>
      </c>
    </row>
    <row r="74" spans="1:13" ht="12.75" x14ac:dyDescent="0.2">
      <c r="A74" s="193">
        <v>4</v>
      </c>
      <c r="B74" s="178"/>
      <c r="C74" s="244" t="s">
        <v>83</v>
      </c>
      <c r="D74" s="245"/>
      <c r="E74" s="245"/>
      <c r="F74" s="245"/>
      <c r="G74" s="245"/>
      <c r="H74" s="245"/>
      <c r="I74" s="245"/>
      <c r="J74" s="246"/>
    </row>
    <row r="75" spans="1:13" x14ac:dyDescent="0.2">
      <c r="A75" s="161" t="s">
        <v>84</v>
      </c>
      <c r="B75" s="167"/>
      <c r="C75" s="236" t="s">
        <v>288</v>
      </c>
      <c r="D75" s="237"/>
      <c r="E75" s="237"/>
      <c r="F75" s="237"/>
      <c r="G75" s="237"/>
      <c r="H75" s="237"/>
      <c r="I75" s="237"/>
      <c r="J75" s="238"/>
      <c r="K75" s="28"/>
    </row>
    <row r="76" spans="1:13" x14ac:dyDescent="0.2">
      <c r="A76" s="174"/>
      <c r="B76" s="168" t="s">
        <v>234</v>
      </c>
      <c r="C76" s="168" t="s">
        <v>235</v>
      </c>
      <c r="D76" s="169" t="s">
        <v>319</v>
      </c>
      <c r="E76" s="170" t="s">
        <v>234</v>
      </c>
      <c r="F76" s="170" t="s">
        <v>234</v>
      </c>
      <c r="G76" s="170" t="s">
        <v>234</v>
      </c>
      <c r="H76" s="170" t="s">
        <v>234</v>
      </c>
      <c r="I76" s="170" t="s">
        <v>234</v>
      </c>
      <c r="J76" s="170" t="s">
        <v>234</v>
      </c>
      <c r="K76" s="28"/>
    </row>
    <row r="77" spans="1:13" ht="45" x14ac:dyDescent="0.2">
      <c r="A77" s="174"/>
      <c r="B77" s="168" t="s">
        <v>85</v>
      </c>
      <c r="C77" s="168" t="s">
        <v>234</v>
      </c>
      <c r="D77" s="169" t="s">
        <v>329</v>
      </c>
      <c r="E77" s="170" t="s">
        <v>41</v>
      </c>
      <c r="F77" s="171">
        <v>18.5</v>
      </c>
      <c r="G77" s="64">
        <v>234.85</v>
      </c>
      <c r="H77" s="30">
        <f t="shared" ref="H77:H85" si="20">ROUND((+F77*G77),2)</f>
        <v>4344.7299999999996</v>
      </c>
      <c r="I77" s="29">
        <f t="shared" ref="I77:I85" si="21">ROUND((G77*$J$2)+G77,2)</f>
        <v>293.56</v>
      </c>
      <c r="J77" s="31">
        <f t="shared" ref="J77:J85" si="22">ROUND((F77*I77),2)</f>
        <v>5430.86</v>
      </c>
      <c r="K77" s="28"/>
    </row>
    <row r="78" spans="1:13" s="28" customFormat="1" x14ac:dyDescent="0.2">
      <c r="A78" s="186"/>
      <c r="B78" s="168" t="s">
        <v>234</v>
      </c>
      <c r="C78" s="168" t="s">
        <v>235</v>
      </c>
      <c r="D78" s="169" t="s">
        <v>328</v>
      </c>
      <c r="E78" s="170" t="s">
        <v>60</v>
      </c>
      <c r="F78" s="171">
        <v>13</v>
      </c>
      <c r="G78" s="37">
        <v>277</v>
      </c>
      <c r="H78" s="30">
        <f t="shared" si="20"/>
        <v>3601</v>
      </c>
      <c r="I78" s="29">
        <f t="shared" si="21"/>
        <v>346.25</v>
      </c>
      <c r="J78" s="31">
        <f t="shared" si="22"/>
        <v>4501.25</v>
      </c>
      <c r="M78" s="141"/>
    </row>
    <row r="79" spans="1:13" s="28" customFormat="1" x14ac:dyDescent="0.2">
      <c r="A79" s="186"/>
      <c r="B79" s="168" t="s">
        <v>234</v>
      </c>
      <c r="C79" s="168" t="s">
        <v>235</v>
      </c>
      <c r="D79" s="169" t="s">
        <v>480</v>
      </c>
      <c r="E79" s="170" t="s">
        <v>60</v>
      </c>
      <c r="F79" s="171">
        <v>2</v>
      </c>
      <c r="G79" s="37">
        <v>145.75</v>
      </c>
      <c r="H79" s="30">
        <f t="shared" si="20"/>
        <v>291.5</v>
      </c>
      <c r="I79" s="29">
        <f t="shared" si="21"/>
        <v>182.19</v>
      </c>
      <c r="J79" s="31">
        <f t="shared" si="22"/>
        <v>364.38</v>
      </c>
      <c r="M79" s="141"/>
    </row>
    <row r="80" spans="1:13" s="28" customFormat="1" x14ac:dyDescent="0.2">
      <c r="A80" s="186"/>
      <c r="B80" s="168" t="s">
        <v>234</v>
      </c>
      <c r="C80" s="168" t="s">
        <v>235</v>
      </c>
      <c r="D80" s="169" t="s">
        <v>320</v>
      </c>
      <c r="E80" s="170" t="s">
        <v>60</v>
      </c>
      <c r="F80" s="171">
        <v>1</v>
      </c>
      <c r="G80" s="37">
        <v>220.75</v>
      </c>
      <c r="H80" s="30">
        <f t="shared" si="20"/>
        <v>220.75</v>
      </c>
      <c r="I80" s="29">
        <f t="shared" si="21"/>
        <v>275.94</v>
      </c>
      <c r="J80" s="31">
        <f t="shared" si="22"/>
        <v>275.94</v>
      </c>
      <c r="M80" s="141"/>
    </row>
    <row r="81" spans="1:13" s="28" customFormat="1" x14ac:dyDescent="0.2">
      <c r="A81" s="186"/>
      <c r="B81" s="168" t="s">
        <v>234</v>
      </c>
      <c r="C81" s="168" t="s">
        <v>235</v>
      </c>
      <c r="D81" s="169" t="s">
        <v>321</v>
      </c>
      <c r="E81" s="170" t="s">
        <v>60</v>
      </c>
      <c r="F81" s="171">
        <v>20</v>
      </c>
      <c r="G81" s="37">
        <v>2.2599999999999998</v>
      </c>
      <c r="H81" s="30">
        <f t="shared" si="20"/>
        <v>45.2</v>
      </c>
      <c r="I81" s="29">
        <f t="shared" si="21"/>
        <v>2.83</v>
      </c>
      <c r="J81" s="31">
        <f t="shared" si="22"/>
        <v>56.6</v>
      </c>
      <c r="M81" s="141"/>
    </row>
    <row r="82" spans="1:13" s="28" customFormat="1" x14ac:dyDescent="0.2">
      <c r="A82" s="186"/>
      <c r="B82" s="168" t="s">
        <v>234</v>
      </c>
      <c r="C82" s="168" t="s">
        <v>235</v>
      </c>
      <c r="D82" s="169" t="s">
        <v>322</v>
      </c>
      <c r="E82" s="170" t="s">
        <v>226</v>
      </c>
      <c r="F82" s="171">
        <v>5</v>
      </c>
      <c r="G82" s="37">
        <v>22.4</v>
      </c>
      <c r="H82" s="30">
        <f t="shared" si="20"/>
        <v>112</v>
      </c>
      <c r="I82" s="29">
        <f t="shared" si="21"/>
        <v>28</v>
      </c>
      <c r="J82" s="31">
        <f t="shared" si="22"/>
        <v>140</v>
      </c>
      <c r="M82" s="141"/>
    </row>
    <row r="83" spans="1:13" s="28" customFormat="1" x14ac:dyDescent="0.2">
      <c r="A83" s="186"/>
      <c r="B83" s="168" t="s">
        <v>234</v>
      </c>
      <c r="C83" s="168" t="s">
        <v>235</v>
      </c>
      <c r="D83" s="169" t="s">
        <v>323</v>
      </c>
      <c r="E83" s="170" t="s">
        <v>60</v>
      </c>
      <c r="F83" s="171">
        <v>1</v>
      </c>
      <c r="G83" s="37">
        <v>5.92</v>
      </c>
      <c r="H83" s="30">
        <f t="shared" si="20"/>
        <v>5.92</v>
      </c>
      <c r="I83" s="29">
        <f t="shared" si="21"/>
        <v>7.4</v>
      </c>
      <c r="J83" s="31">
        <f t="shared" si="22"/>
        <v>7.4</v>
      </c>
      <c r="M83" s="141"/>
    </row>
    <row r="84" spans="1:13" s="28" customFormat="1" x14ac:dyDescent="0.2">
      <c r="A84" s="186"/>
      <c r="B84" s="168" t="s">
        <v>234</v>
      </c>
      <c r="C84" s="168" t="s">
        <v>235</v>
      </c>
      <c r="D84" s="169" t="s">
        <v>324</v>
      </c>
      <c r="E84" s="170" t="s">
        <v>60</v>
      </c>
      <c r="F84" s="171">
        <v>1</v>
      </c>
      <c r="G84" s="37">
        <v>54.48</v>
      </c>
      <c r="H84" s="30">
        <f t="shared" si="20"/>
        <v>54.48</v>
      </c>
      <c r="I84" s="29">
        <f t="shared" si="21"/>
        <v>68.099999999999994</v>
      </c>
      <c r="J84" s="31">
        <f t="shared" si="22"/>
        <v>68.099999999999994</v>
      </c>
      <c r="M84" s="141"/>
    </row>
    <row r="85" spans="1:13" s="28" customFormat="1" x14ac:dyDescent="0.2">
      <c r="A85" s="186"/>
      <c r="B85" s="168" t="s">
        <v>234</v>
      </c>
      <c r="C85" s="168" t="s">
        <v>235</v>
      </c>
      <c r="D85" s="169" t="s">
        <v>325</v>
      </c>
      <c r="E85" s="170" t="s">
        <v>326</v>
      </c>
      <c r="F85" s="171">
        <v>2</v>
      </c>
      <c r="G85" s="37">
        <v>4.68</v>
      </c>
      <c r="H85" s="30">
        <f t="shared" si="20"/>
        <v>9.36</v>
      </c>
      <c r="I85" s="29">
        <f t="shared" si="21"/>
        <v>5.85</v>
      </c>
      <c r="J85" s="31">
        <f t="shared" si="22"/>
        <v>11.7</v>
      </c>
      <c r="M85" s="141"/>
    </row>
    <row r="86" spans="1:13" s="28" customFormat="1" x14ac:dyDescent="0.2">
      <c r="A86" s="186"/>
      <c r="B86" s="168" t="s">
        <v>234</v>
      </c>
      <c r="C86" s="168" t="s">
        <v>235</v>
      </c>
      <c r="D86" s="169" t="s">
        <v>327</v>
      </c>
      <c r="E86" s="170" t="s">
        <v>60</v>
      </c>
      <c r="F86" s="171">
        <v>2</v>
      </c>
      <c r="G86" s="37">
        <v>51.4</v>
      </c>
      <c r="H86" s="30">
        <f t="shared" si="7"/>
        <v>102.8</v>
      </c>
      <c r="I86" s="29">
        <f t="shared" si="4"/>
        <v>64.25</v>
      </c>
      <c r="J86" s="31">
        <f t="shared" si="5"/>
        <v>128.5</v>
      </c>
      <c r="M86" s="141"/>
    </row>
    <row r="87" spans="1:13" x14ac:dyDescent="0.2">
      <c r="A87" s="174"/>
      <c r="B87" s="168"/>
      <c r="C87" s="168"/>
      <c r="D87" s="169"/>
      <c r="E87" s="170"/>
      <c r="F87" s="171"/>
      <c r="G87" s="44"/>
      <c r="H87" s="30"/>
      <c r="I87" s="29"/>
      <c r="J87" s="31"/>
    </row>
    <row r="88" spans="1:13" x14ac:dyDescent="0.2">
      <c r="A88" s="161" t="s">
        <v>86</v>
      </c>
      <c r="B88" s="167"/>
      <c r="C88" s="236" t="s">
        <v>285</v>
      </c>
      <c r="D88" s="237"/>
      <c r="E88" s="237"/>
      <c r="F88" s="237"/>
      <c r="G88" s="237"/>
      <c r="H88" s="237"/>
      <c r="I88" s="237"/>
      <c r="J88" s="238"/>
      <c r="K88" s="28"/>
    </row>
    <row r="89" spans="1:13" ht="33.75" x14ac:dyDescent="0.2">
      <c r="A89" s="174"/>
      <c r="B89" s="168" t="s">
        <v>90</v>
      </c>
      <c r="C89" s="168" t="s">
        <v>234</v>
      </c>
      <c r="D89" s="169" t="s">
        <v>91</v>
      </c>
      <c r="E89" s="170" t="s">
        <v>54</v>
      </c>
      <c r="F89" s="171">
        <v>20</v>
      </c>
      <c r="G89" s="44">
        <v>2.79</v>
      </c>
      <c r="H89" s="30">
        <f t="shared" si="7"/>
        <v>55.8</v>
      </c>
      <c r="I89" s="29">
        <f t="shared" si="4"/>
        <v>3.49</v>
      </c>
      <c r="J89" s="31">
        <f t="shared" si="5"/>
        <v>69.8</v>
      </c>
    </row>
    <row r="90" spans="1:13" ht="33.75" x14ac:dyDescent="0.2">
      <c r="A90" s="174"/>
      <c r="B90" s="168" t="s">
        <v>90</v>
      </c>
      <c r="C90" s="168" t="s">
        <v>234</v>
      </c>
      <c r="D90" s="169" t="s">
        <v>92</v>
      </c>
      <c r="E90" s="170" t="s">
        <v>54</v>
      </c>
      <c r="F90" s="171">
        <v>20</v>
      </c>
      <c r="G90" s="44">
        <v>2.79</v>
      </c>
      <c r="H90" s="30">
        <f t="shared" si="7"/>
        <v>55.8</v>
      </c>
      <c r="I90" s="29">
        <f t="shared" si="4"/>
        <v>3.49</v>
      </c>
      <c r="J90" s="31">
        <f t="shared" si="5"/>
        <v>69.8</v>
      </c>
    </row>
    <row r="91" spans="1:13" s="28" customFormat="1" ht="33.75" x14ac:dyDescent="0.2">
      <c r="A91" s="186"/>
      <c r="B91" s="168" t="s">
        <v>90</v>
      </c>
      <c r="C91" s="168" t="s">
        <v>234</v>
      </c>
      <c r="D91" s="169" t="s">
        <v>500</v>
      </c>
      <c r="E91" s="170" t="s">
        <v>54</v>
      </c>
      <c r="F91" s="171">
        <v>20</v>
      </c>
      <c r="G91" s="44">
        <v>2.79</v>
      </c>
      <c r="H91" s="30">
        <f t="shared" ref="H91" si="23">ROUND((+F91*G91),2)</f>
        <v>55.8</v>
      </c>
      <c r="I91" s="29">
        <f t="shared" ref="I91" si="24">ROUND((G91*$J$2)+G91,2)</f>
        <v>3.49</v>
      </c>
      <c r="J91" s="31">
        <f t="shared" ref="J91" si="25">ROUND((F91*I91),2)</f>
        <v>69.8</v>
      </c>
      <c r="M91" s="141"/>
    </row>
    <row r="92" spans="1:13" ht="33.75" x14ac:dyDescent="0.2">
      <c r="A92" s="174"/>
      <c r="B92" s="168" t="s">
        <v>93</v>
      </c>
      <c r="C92" s="168" t="s">
        <v>234</v>
      </c>
      <c r="D92" s="169" t="s">
        <v>94</v>
      </c>
      <c r="E92" s="170" t="s">
        <v>60</v>
      </c>
      <c r="F92" s="171">
        <v>2</v>
      </c>
      <c r="G92" s="44">
        <v>54.76</v>
      </c>
      <c r="H92" s="30">
        <f t="shared" si="7"/>
        <v>109.52</v>
      </c>
      <c r="I92" s="29">
        <f t="shared" si="4"/>
        <v>68.45</v>
      </c>
      <c r="J92" s="31">
        <f t="shared" si="5"/>
        <v>136.9</v>
      </c>
    </row>
    <row r="93" spans="1:13" ht="22.5" x14ac:dyDescent="0.2">
      <c r="A93" s="174"/>
      <c r="B93" s="168" t="s">
        <v>67</v>
      </c>
      <c r="C93" s="168" t="s">
        <v>234</v>
      </c>
      <c r="D93" s="169" t="s">
        <v>95</v>
      </c>
      <c r="E93" s="170" t="s">
        <v>60</v>
      </c>
      <c r="F93" s="171">
        <v>1</v>
      </c>
      <c r="G93" s="44">
        <v>19.37</v>
      </c>
      <c r="H93" s="30">
        <f t="shared" si="7"/>
        <v>19.37</v>
      </c>
      <c r="I93" s="29">
        <f t="shared" si="4"/>
        <v>24.21</v>
      </c>
      <c r="J93" s="31">
        <f t="shared" si="5"/>
        <v>24.21</v>
      </c>
    </row>
    <row r="94" spans="1:13" x14ac:dyDescent="0.2">
      <c r="A94" s="161" t="s">
        <v>88</v>
      </c>
      <c r="B94" s="167"/>
      <c r="C94" s="236" t="s">
        <v>286</v>
      </c>
      <c r="D94" s="237"/>
      <c r="E94" s="237"/>
      <c r="F94" s="237"/>
      <c r="G94" s="237"/>
      <c r="H94" s="237"/>
      <c r="I94" s="237"/>
      <c r="J94" s="239"/>
      <c r="K94" s="28"/>
    </row>
    <row r="95" spans="1:13" ht="22.5" x14ac:dyDescent="0.2">
      <c r="A95" s="174"/>
      <c r="B95" s="168" t="s">
        <v>274</v>
      </c>
      <c r="C95" s="168" t="s">
        <v>234</v>
      </c>
      <c r="D95" s="169" t="s">
        <v>273</v>
      </c>
      <c r="E95" s="170" t="s">
        <v>54</v>
      </c>
      <c r="F95" s="171">
        <v>15</v>
      </c>
      <c r="G95" s="44">
        <v>19.600000000000001</v>
      </c>
      <c r="H95" s="30">
        <f t="shared" ref="H95:H101" si="26">ROUND((+F95*G95),2)</f>
        <v>294</v>
      </c>
      <c r="I95" s="29">
        <f t="shared" ref="I95:I101" si="27">ROUND((G95*$J$2)+G95,2)</f>
        <v>24.5</v>
      </c>
      <c r="J95" s="31">
        <f t="shared" ref="J95:J101" si="28">ROUND((F95*I95),2)</f>
        <v>367.5</v>
      </c>
    </row>
    <row r="96" spans="1:13" x14ac:dyDescent="0.2">
      <c r="A96" s="174"/>
      <c r="B96" s="168" t="s">
        <v>275</v>
      </c>
      <c r="C96" s="168" t="s">
        <v>234</v>
      </c>
      <c r="D96" s="169" t="s">
        <v>362</v>
      </c>
      <c r="E96" s="170" t="s">
        <v>41</v>
      </c>
      <c r="F96" s="171">
        <v>7.5</v>
      </c>
      <c r="G96" s="44">
        <v>3.84</v>
      </c>
      <c r="H96" s="30">
        <f t="shared" si="26"/>
        <v>28.8</v>
      </c>
      <c r="I96" s="29">
        <f t="shared" si="27"/>
        <v>4.8</v>
      </c>
      <c r="J96" s="31">
        <f t="shared" si="28"/>
        <v>36</v>
      </c>
    </row>
    <row r="97" spans="1:13" x14ac:dyDescent="0.2">
      <c r="A97" s="174"/>
      <c r="B97" s="168" t="s">
        <v>227</v>
      </c>
      <c r="C97" s="168" t="s">
        <v>234</v>
      </c>
      <c r="D97" s="169" t="s">
        <v>279</v>
      </c>
      <c r="E97" s="170" t="s">
        <v>41</v>
      </c>
      <c r="F97" s="171">
        <v>7.5</v>
      </c>
      <c r="G97" s="44">
        <v>2.5299999999999998</v>
      </c>
      <c r="H97" s="30">
        <f t="shared" si="26"/>
        <v>18.98</v>
      </c>
      <c r="I97" s="29">
        <f t="shared" si="27"/>
        <v>3.16</v>
      </c>
      <c r="J97" s="31">
        <f t="shared" si="28"/>
        <v>23.7</v>
      </c>
    </row>
    <row r="98" spans="1:13" x14ac:dyDescent="0.2">
      <c r="A98" s="174"/>
      <c r="B98" s="168" t="s">
        <v>280</v>
      </c>
      <c r="C98" s="168" t="s">
        <v>234</v>
      </c>
      <c r="D98" s="169" t="s">
        <v>281</v>
      </c>
      <c r="E98" s="170" t="s">
        <v>41</v>
      </c>
      <c r="F98" s="171">
        <v>7.5</v>
      </c>
      <c r="G98" s="44">
        <v>13.18</v>
      </c>
      <c r="H98" s="30">
        <f t="shared" si="26"/>
        <v>98.85</v>
      </c>
      <c r="I98" s="29">
        <f t="shared" si="27"/>
        <v>16.48</v>
      </c>
      <c r="J98" s="31">
        <f t="shared" si="28"/>
        <v>123.6</v>
      </c>
    </row>
    <row r="99" spans="1:13" ht="22.5" x14ac:dyDescent="0.2">
      <c r="A99" s="174"/>
      <c r="B99" s="168" t="s">
        <v>278</v>
      </c>
      <c r="C99" s="168" t="s">
        <v>234</v>
      </c>
      <c r="D99" s="169" t="s">
        <v>277</v>
      </c>
      <c r="E99" s="170" t="s">
        <v>54</v>
      </c>
      <c r="F99" s="171">
        <v>10</v>
      </c>
      <c r="G99" s="44">
        <v>5.53</v>
      </c>
      <c r="H99" s="30">
        <f t="shared" si="26"/>
        <v>55.3</v>
      </c>
      <c r="I99" s="29">
        <f t="shared" si="27"/>
        <v>6.91</v>
      </c>
      <c r="J99" s="31">
        <f t="shared" si="28"/>
        <v>69.099999999999994</v>
      </c>
    </row>
    <row r="100" spans="1:13" ht="22.5" x14ac:dyDescent="0.2">
      <c r="A100" s="174"/>
      <c r="B100" s="157" t="s">
        <v>44</v>
      </c>
      <c r="C100" s="158" t="s">
        <v>234</v>
      </c>
      <c r="D100" s="159" t="s">
        <v>282</v>
      </c>
      <c r="E100" s="157" t="s">
        <v>41</v>
      </c>
      <c r="F100" s="171">
        <v>7.5</v>
      </c>
      <c r="G100" s="44">
        <v>26.83</v>
      </c>
      <c r="H100" s="30">
        <f t="shared" si="26"/>
        <v>201.23</v>
      </c>
      <c r="I100" s="29">
        <f t="shared" si="27"/>
        <v>33.54</v>
      </c>
      <c r="J100" s="31">
        <f t="shared" si="28"/>
        <v>251.55</v>
      </c>
    </row>
    <row r="101" spans="1:13" x14ac:dyDescent="0.2">
      <c r="A101" s="174"/>
      <c r="B101" s="168" t="s">
        <v>237</v>
      </c>
      <c r="C101" s="168" t="s">
        <v>234</v>
      </c>
      <c r="D101" s="153" t="s">
        <v>283</v>
      </c>
      <c r="E101" s="175" t="s">
        <v>41</v>
      </c>
      <c r="F101" s="171">
        <v>7.5</v>
      </c>
      <c r="G101" s="44">
        <v>19.989999999999998</v>
      </c>
      <c r="H101" s="30">
        <f t="shared" si="26"/>
        <v>149.93</v>
      </c>
      <c r="I101" s="29">
        <f t="shared" si="27"/>
        <v>24.99</v>
      </c>
      <c r="J101" s="31">
        <f t="shared" si="28"/>
        <v>187.43</v>
      </c>
    </row>
    <row r="102" spans="1:13" ht="22.5" x14ac:dyDescent="0.2">
      <c r="A102" s="174"/>
      <c r="B102" s="168" t="s">
        <v>108</v>
      </c>
      <c r="C102" s="168" t="s">
        <v>234</v>
      </c>
      <c r="D102" s="169" t="s">
        <v>276</v>
      </c>
      <c r="E102" s="170" t="s">
        <v>54</v>
      </c>
      <c r="F102" s="171">
        <v>8</v>
      </c>
      <c r="G102" s="44">
        <v>19.510000000000002</v>
      </c>
      <c r="H102" s="30">
        <f t="shared" ref="H102:H103" si="29">ROUND((+F102*G102),2)</f>
        <v>156.08000000000001</v>
      </c>
      <c r="I102" s="29">
        <f t="shared" ref="I102:I103" si="30">ROUND((G102*$J$2)+G102,2)</f>
        <v>24.39</v>
      </c>
      <c r="J102" s="31">
        <f t="shared" ref="J102:J103" si="31">ROUND((F102*I102),2)</f>
        <v>195.12</v>
      </c>
    </row>
    <row r="103" spans="1:13" ht="22.5" x14ac:dyDescent="0.2">
      <c r="A103" s="174"/>
      <c r="B103" s="168" t="s">
        <v>289</v>
      </c>
      <c r="C103" s="168" t="s">
        <v>234</v>
      </c>
      <c r="D103" s="169" t="s">
        <v>484</v>
      </c>
      <c r="E103" s="170" t="s">
        <v>54</v>
      </c>
      <c r="F103" s="171">
        <v>24</v>
      </c>
      <c r="G103" s="44">
        <v>84.69</v>
      </c>
      <c r="H103" s="30">
        <f t="shared" si="29"/>
        <v>2032.56</v>
      </c>
      <c r="I103" s="29">
        <f t="shared" si="30"/>
        <v>105.86</v>
      </c>
      <c r="J103" s="31">
        <f t="shared" si="31"/>
        <v>2540.64</v>
      </c>
    </row>
    <row r="104" spans="1:13" x14ac:dyDescent="0.2">
      <c r="A104" s="161" t="s">
        <v>89</v>
      </c>
      <c r="B104" s="167"/>
      <c r="C104" s="236" t="s">
        <v>287</v>
      </c>
      <c r="D104" s="237"/>
      <c r="E104" s="237"/>
      <c r="F104" s="237"/>
      <c r="G104" s="237"/>
      <c r="H104" s="237"/>
      <c r="I104" s="237"/>
      <c r="J104" s="239"/>
      <c r="K104" s="28"/>
    </row>
    <row r="105" spans="1:13" ht="22.5" x14ac:dyDescent="0.2">
      <c r="A105" s="174"/>
      <c r="B105" s="151" t="s">
        <v>71</v>
      </c>
      <c r="C105" s="152" t="s">
        <v>234</v>
      </c>
      <c r="D105" s="153" t="s">
        <v>349</v>
      </c>
      <c r="E105" s="154" t="s">
        <v>41</v>
      </c>
      <c r="F105" s="155">
        <v>7.5</v>
      </c>
      <c r="G105" s="156">
        <v>16.190000000000001</v>
      </c>
      <c r="H105" s="30">
        <f t="shared" ref="H105" si="32">ROUND((+F105*G105),2)</f>
        <v>121.43</v>
      </c>
      <c r="I105" s="29">
        <f t="shared" ref="I105" si="33">ROUND((G105*$J$2)+G105,2)</f>
        <v>20.239999999999998</v>
      </c>
      <c r="J105" s="31">
        <f t="shared" ref="J105" si="34">ROUND((F105*I105),2)</f>
        <v>151.80000000000001</v>
      </c>
    </row>
    <row r="106" spans="1:13" x14ac:dyDescent="0.2">
      <c r="A106" s="161" t="s">
        <v>123</v>
      </c>
      <c r="B106" s="167"/>
      <c r="C106" s="236" t="s">
        <v>290</v>
      </c>
      <c r="D106" s="237"/>
      <c r="E106" s="237"/>
      <c r="F106" s="237"/>
      <c r="G106" s="237"/>
      <c r="H106" s="237"/>
      <c r="I106" s="237"/>
      <c r="J106" s="239"/>
      <c r="K106" s="28"/>
    </row>
    <row r="107" spans="1:13" ht="33.75" x14ac:dyDescent="0.2">
      <c r="A107" s="174"/>
      <c r="B107" s="151" t="s">
        <v>291</v>
      </c>
      <c r="C107" s="152" t="s">
        <v>234</v>
      </c>
      <c r="D107" s="153" t="s">
        <v>293</v>
      </c>
      <c r="E107" s="154" t="s">
        <v>41</v>
      </c>
      <c r="F107" s="29">
        <v>5</v>
      </c>
      <c r="G107" s="156">
        <v>188.05</v>
      </c>
      <c r="H107" s="30">
        <f t="shared" ref="H107" si="35">ROUND((+F107*G107),2)</f>
        <v>940.25</v>
      </c>
      <c r="I107" s="29">
        <f t="shared" ref="I107" si="36">ROUND((G107*$J$2)+G107,2)</f>
        <v>235.06</v>
      </c>
      <c r="J107" s="31">
        <f t="shared" ref="J107" si="37">ROUND((F107*I107),2)</f>
        <v>1175.3</v>
      </c>
    </row>
    <row r="108" spans="1:13" ht="33.75" x14ac:dyDescent="0.2">
      <c r="A108" s="174"/>
      <c r="B108" s="151" t="s">
        <v>291</v>
      </c>
      <c r="C108" s="152" t="s">
        <v>234</v>
      </c>
      <c r="D108" s="153" t="s">
        <v>292</v>
      </c>
      <c r="E108" s="154" t="s">
        <v>41</v>
      </c>
      <c r="F108" s="29">
        <v>1</v>
      </c>
      <c r="G108" s="156">
        <v>188.05</v>
      </c>
      <c r="H108" s="30">
        <f t="shared" ref="H108" si="38">ROUND((+F108*G108),2)</f>
        <v>188.05</v>
      </c>
      <c r="I108" s="29">
        <f t="shared" ref="I108" si="39">ROUND((G108*$J$2)+G108,2)</f>
        <v>235.06</v>
      </c>
      <c r="J108" s="31">
        <f t="shared" ref="J108" si="40">ROUND((F108*I108),2)</f>
        <v>235.06</v>
      </c>
    </row>
    <row r="109" spans="1:13" x14ac:dyDescent="0.2">
      <c r="A109" s="161" t="s">
        <v>284</v>
      </c>
      <c r="B109" s="167"/>
      <c r="C109" s="236" t="s">
        <v>294</v>
      </c>
      <c r="D109" s="237"/>
      <c r="E109" s="237"/>
      <c r="F109" s="237"/>
      <c r="G109" s="237"/>
      <c r="H109" s="237"/>
      <c r="I109" s="237"/>
      <c r="J109" s="239"/>
      <c r="K109" s="28"/>
    </row>
    <row r="110" spans="1:13" x14ac:dyDescent="0.2">
      <c r="A110" s="174"/>
      <c r="B110" s="151" t="s">
        <v>296</v>
      </c>
      <c r="C110" s="152" t="s">
        <v>234</v>
      </c>
      <c r="D110" s="153" t="s">
        <v>295</v>
      </c>
      <c r="E110" s="154" t="s">
        <v>54</v>
      </c>
      <c r="F110" s="155">
        <v>1.85</v>
      </c>
      <c r="G110" s="156">
        <v>609.52</v>
      </c>
      <c r="H110" s="30">
        <f t="shared" ref="H110" si="41">ROUND((+F110*G110),2)</f>
        <v>1127.6099999999999</v>
      </c>
      <c r="I110" s="29">
        <f t="shared" ref="I110" si="42">ROUND((G110*$J$2)+G110,2)</f>
        <v>761.9</v>
      </c>
      <c r="J110" s="31">
        <f t="shared" ref="J110" si="43">ROUND((F110*I110),2)</f>
        <v>1409.52</v>
      </c>
    </row>
    <row r="111" spans="1:13" x14ac:dyDescent="0.2">
      <c r="A111" s="161" t="s">
        <v>365</v>
      </c>
      <c r="B111" s="167"/>
      <c r="C111" s="236" t="s">
        <v>87</v>
      </c>
      <c r="D111" s="237"/>
      <c r="E111" s="237"/>
      <c r="F111" s="237"/>
      <c r="G111" s="237"/>
      <c r="H111" s="237"/>
      <c r="I111" s="237"/>
      <c r="J111" s="238"/>
      <c r="K111" s="28"/>
    </row>
    <row r="112" spans="1:13" s="28" customFormat="1" x14ac:dyDescent="0.2">
      <c r="A112" s="186"/>
      <c r="B112" s="168" t="s">
        <v>501</v>
      </c>
      <c r="C112" s="168" t="s">
        <v>234</v>
      </c>
      <c r="D112" s="169" t="s">
        <v>265</v>
      </c>
      <c r="E112" s="170" t="s">
        <v>41</v>
      </c>
      <c r="F112" s="171">
        <v>53.88</v>
      </c>
      <c r="G112" s="44">
        <v>72.17</v>
      </c>
      <c r="H112" s="30">
        <f t="shared" ref="H112" si="44">ROUND((+F112*G112),2)</f>
        <v>3888.52</v>
      </c>
      <c r="I112" s="29">
        <f t="shared" ref="I112" si="45">ROUND((G112*$J$2)+G112,2)</f>
        <v>90.21</v>
      </c>
      <c r="J112" s="31">
        <f t="shared" ref="J112" si="46">ROUND((F112*I112),2)</f>
        <v>4860.51</v>
      </c>
      <c r="M112" s="141"/>
    </row>
    <row r="113" spans="1:15" x14ac:dyDescent="0.2">
      <c r="A113" s="161" t="s">
        <v>366</v>
      </c>
      <c r="B113" s="167"/>
      <c r="C113" s="236" t="s">
        <v>64</v>
      </c>
      <c r="D113" s="237"/>
      <c r="E113" s="237"/>
      <c r="F113" s="237"/>
      <c r="G113" s="237"/>
      <c r="H113" s="237"/>
      <c r="I113" s="237"/>
      <c r="J113" s="238"/>
      <c r="K113" s="28"/>
    </row>
    <row r="114" spans="1:15" s="28" customFormat="1" ht="45" x14ac:dyDescent="0.2">
      <c r="A114" s="186"/>
      <c r="B114" s="168" t="s">
        <v>234</v>
      </c>
      <c r="C114" s="168" t="s">
        <v>235</v>
      </c>
      <c r="D114" s="169" t="s">
        <v>481</v>
      </c>
      <c r="E114" s="170" t="s">
        <v>60</v>
      </c>
      <c r="F114" s="171">
        <v>2</v>
      </c>
      <c r="G114" s="44">
        <v>1616</v>
      </c>
      <c r="H114" s="30">
        <f t="shared" ref="H114" si="47">ROUND((+F114*G114),2)</f>
        <v>3232</v>
      </c>
      <c r="I114" s="29">
        <f t="shared" ref="I114" si="48">ROUND((G114*$J$2)+G114,2)</f>
        <v>2020</v>
      </c>
      <c r="J114" s="31">
        <f t="shared" ref="J114" si="49">ROUND((F114*I114),2)</f>
        <v>4040</v>
      </c>
      <c r="M114" s="141"/>
    </row>
    <row r="115" spans="1:15" ht="12" x14ac:dyDescent="0.2">
      <c r="A115" s="233" t="s">
        <v>76</v>
      </c>
      <c r="B115" s="234"/>
      <c r="C115" s="234"/>
      <c r="D115" s="234"/>
      <c r="E115" s="234"/>
      <c r="F115" s="234"/>
      <c r="G115" s="234"/>
      <c r="H115" s="234"/>
      <c r="I115" s="235"/>
      <c r="J115" s="177">
        <f>SUM(J77:J86,J89:J93,J95:J103,J105,J107:J108,J110,J112,J114)</f>
        <v>27022.07</v>
      </c>
    </row>
    <row r="116" spans="1:15" ht="12.75" x14ac:dyDescent="0.2">
      <c r="A116" s="193">
        <v>5</v>
      </c>
      <c r="B116" s="178"/>
      <c r="C116" s="244" t="s">
        <v>96</v>
      </c>
      <c r="D116" s="245"/>
      <c r="E116" s="245"/>
      <c r="F116" s="245"/>
      <c r="G116" s="245"/>
      <c r="H116" s="245"/>
      <c r="I116" s="245"/>
      <c r="J116" s="246"/>
    </row>
    <row r="117" spans="1:15" x14ac:dyDescent="0.2">
      <c r="A117" s="161" t="s">
        <v>97</v>
      </c>
      <c r="B117" s="167"/>
      <c r="C117" s="236" t="s">
        <v>248</v>
      </c>
      <c r="D117" s="237"/>
      <c r="E117" s="237"/>
      <c r="F117" s="237"/>
      <c r="G117" s="237"/>
      <c r="H117" s="237"/>
      <c r="I117" s="237"/>
      <c r="J117" s="238"/>
      <c r="K117" s="28"/>
    </row>
    <row r="118" spans="1:15" ht="22.5" x14ac:dyDescent="0.2">
      <c r="A118" s="179"/>
      <c r="B118" s="168" t="s">
        <v>267</v>
      </c>
      <c r="C118" s="168" t="s">
        <v>234</v>
      </c>
      <c r="D118" s="169" t="s">
        <v>266</v>
      </c>
      <c r="E118" s="170" t="s">
        <v>51</v>
      </c>
      <c r="F118" s="171">
        <v>0.79</v>
      </c>
      <c r="G118" s="44">
        <v>134.94999999999999</v>
      </c>
      <c r="H118" s="30">
        <f t="shared" ref="H118" si="50">ROUND((+F118*G118),2)</f>
        <v>106.61</v>
      </c>
      <c r="I118" s="29">
        <f t="shared" ref="I118" si="51">ROUND((G118*$J$2)+G118,2)</f>
        <v>168.69</v>
      </c>
      <c r="J118" s="31">
        <f t="shared" ref="J118" si="52">ROUND((F118*I118),2)</f>
        <v>133.27000000000001</v>
      </c>
    </row>
    <row r="119" spans="1:15" ht="22.5" x14ac:dyDescent="0.2">
      <c r="A119" s="179"/>
      <c r="B119" s="168" t="s">
        <v>269</v>
      </c>
      <c r="C119" s="168" t="s">
        <v>234</v>
      </c>
      <c r="D119" s="169" t="s">
        <v>268</v>
      </c>
      <c r="E119" s="170" t="s">
        <v>60</v>
      </c>
      <c r="F119" s="171">
        <v>1</v>
      </c>
      <c r="G119" s="44">
        <v>334.41</v>
      </c>
      <c r="H119" s="30">
        <f t="shared" ref="H119:H120" si="53">ROUND((+F119*G119),2)</f>
        <v>334.41</v>
      </c>
      <c r="I119" s="29">
        <f t="shared" ref="I119:I120" si="54">ROUND((G119*$J$2)+G119,2)</f>
        <v>418.01</v>
      </c>
      <c r="J119" s="31">
        <f t="shared" ref="J119:J120" si="55">ROUND((F119*I119),2)</f>
        <v>418.01</v>
      </c>
    </row>
    <row r="120" spans="1:15" ht="22.5" x14ac:dyDescent="0.2">
      <c r="A120" s="179"/>
      <c r="B120" s="168" t="s">
        <v>297</v>
      </c>
      <c r="C120" s="168" t="s">
        <v>234</v>
      </c>
      <c r="D120" s="169" t="s">
        <v>483</v>
      </c>
      <c r="E120" s="170" t="s">
        <v>54</v>
      </c>
      <c r="F120" s="171">
        <v>3.5</v>
      </c>
      <c r="G120" s="44">
        <v>519.52</v>
      </c>
      <c r="H120" s="30">
        <f t="shared" si="53"/>
        <v>1818.32</v>
      </c>
      <c r="I120" s="29">
        <f t="shared" si="54"/>
        <v>649.4</v>
      </c>
      <c r="J120" s="31">
        <f t="shared" si="55"/>
        <v>2272.9</v>
      </c>
    </row>
    <row r="121" spans="1:15" x14ac:dyDescent="0.2">
      <c r="A121" s="161" t="s">
        <v>98</v>
      </c>
      <c r="B121" s="167"/>
      <c r="C121" s="236" t="s">
        <v>255</v>
      </c>
      <c r="D121" s="237"/>
      <c r="E121" s="237"/>
      <c r="F121" s="237"/>
      <c r="G121" s="237"/>
      <c r="H121" s="237"/>
      <c r="I121" s="237"/>
      <c r="J121" s="239"/>
      <c r="K121" s="28"/>
    </row>
    <row r="122" spans="1:15" ht="22.5" x14ac:dyDescent="0.2">
      <c r="A122" s="179"/>
      <c r="B122" s="168" t="s">
        <v>270</v>
      </c>
      <c r="C122" s="168" t="s">
        <v>234</v>
      </c>
      <c r="D122" s="169" t="s">
        <v>482</v>
      </c>
      <c r="E122" s="170" t="s">
        <v>41</v>
      </c>
      <c r="F122" s="171">
        <v>2.4</v>
      </c>
      <c r="G122" s="44">
        <v>13.37</v>
      </c>
      <c r="H122" s="30">
        <f t="shared" ref="H122" si="56">ROUND((+F122*G122),2)</f>
        <v>32.090000000000003</v>
      </c>
      <c r="I122" s="29">
        <f t="shared" ref="I122" si="57">ROUND((G122*$J$2)+G122,2)</f>
        <v>16.71</v>
      </c>
      <c r="J122" s="31">
        <f t="shared" ref="J122" si="58">ROUND((F122*I122),2)</f>
        <v>40.1</v>
      </c>
    </row>
    <row r="123" spans="1:15" x14ac:dyDescent="0.2">
      <c r="A123" s="161" t="s">
        <v>99</v>
      </c>
      <c r="B123" s="167"/>
      <c r="C123" s="180" t="s">
        <v>87</v>
      </c>
      <c r="D123" s="181"/>
      <c r="E123" s="181"/>
      <c r="F123" s="182"/>
      <c r="G123" s="183"/>
      <c r="H123" s="183"/>
      <c r="I123" s="183"/>
      <c r="J123" s="183"/>
      <c r="K123" s="28"/>
    </row>
    <row r="124" spans="1:15" x14ac:dyDescent="0.2">
      <c r="A124" s="174"/>
      <c r="B124" s="168" t="s">
        <v>501</v>
      </c>
      <c r="C124" s="168" t="s">
        <v>234</v>
      </c>
      <c r="D124" s="169" t="s">
        <v>265</v>
      </c>
      <c r="E124" s="170" t="s">
        <v>41</v>
      </c>
      <c r="F124" s="171">
        <v>53.88</v>
      </c>
      <c r="G124" s="44">
        <v>72.17</v>
      </c>
      <c r="H124" s="30">
        <f t="shared" ref="H124" si="59">ROUND((+F124*G124),2)</f>
        <v>3888.52</v>
      </c>
      <c r="I124" s="29">
        <f t="shared" ref="I124" si="60">ROUND((G124*$J$2)+G124,2)</f>
        <v>90.21</v>
      </c>
      <c r="J124" s="31">
        <f t="shared" ref="J124" si="61">ROUND((F124*I124),2)</f>
        <v>4860.51</v>
      </c>
    </row>
    <row r="125" spans="1:15" x14ac:dyDescent="0.2">
      <c r="A125" s="161" t="s">
        <v>271</v>
      </c>
      <c r="B125" s="167"/>
      <c r="C125" s="180" t="s">
        <v>100</v>
      </c>
      <c r="D125" s="181"/>
      <c r="E125" s="181"/>
      <c r="F125" s="182"/>
      <c r="G125" s="183"/>
      <c r="H125" s="183"/>
      <c r="I125" s="183"/>
      <c r="J125" s="183"/>
      <c r="K125" s="28"/>
    </row>
    <row r="126" spans="1:15" s="28" customFormat="1" ht="33.75" x14ac:dyDescent="0.2">
      <c r="A126" s="186"/>
      <c r="B126" s="168" t="s">
        <v>234</v>
      </c>
      <c r="C126" s="168" t="s">
        <v>235</v>
      </c>
      <c r="D126" s="169" t="s">
        <v>303</v>
      </c>
      <c r="E126" s="170" t="s">
        <v>60</v>
      </c>
      <c r="F126" s="171">
        <v>2</v>
      </c>
      <c r="G126" s="44">
        <v>70.400000000000006</v>
      </c>
      <c r="H126" s="30">
        <f t="shared" si="7"/>
        <v>140.80000000000001</v>
      </c>
      <c r="I126" s="29">
        <f t="shared" si="4"/>
        <v>88</v>
      </c>
      <c r="J126" s="31">
        <f t="shared" si="5"/>
        <v>176</v>
      </c>
      <c r="M126" s="141"/>
    </row>
    <row r="127" spans="1:15" s="28" customFormat="1" ht="22.5" x14ac:dyDescent="0.2">
      <c r="A127" s="186"/>
      <c r="B127" s="168" t="s">
        <v>234</v>
      </c>
      <c r="C127" s="168" t="s">
        <v>235</v>
      </c>
      <c r="D127" s="169" t="s">
        <v>350</v>
      </c>
      <c r="E127" s="170" t="s">
        <v>60</v>
      </c>
      <c r="F127" s="171">
        <v>2</v>
      </c>
      <c r="G127" s="44">
        <v>344</v>
      </c>
      <c r="H127" s="30">
        <f t="shared" si="7"/>
        <v>688</v>
      </c>
      <c r="I127" s="29">
        <f t="shared" si="4"/>
        <v>430</v>
      </c>
      <c r="J127" s="31">
        <f t="shared" si="5"/>
        <v>860</v>
      </c>
      <c r="M127" s="141"/>
    </row>
    <row r="128" spans="1:15" ht="12" x14ac:dyDescent="0.2">
      <c r="A128" s="233" t="s">
        <v>76</v>
      </c>
      <c r="B128" s="234"/>
      <c r="C128" s="234"/>
      <c r="D128" s="234"/>
      <c r="E128" s="234"/>
      <c r="F128" s="234"/>
      <c r="G128" s="234"/>
      <c r="H128" s="234"/>
      <c r="I128" s="235"/>
      <c r="J128" s="177">
        <f>SUM(J118:J120,J122,J124,J126:J127)</f>
        <v>8760.7900000000009</v>
      </c>
      <c r="K128" s="28"/>
      <c r="L128" s="28"/>
      <c r="M128" s="141"/>
      <c r="N128" s="28"/>
      <c r="O128" s="28"/>
    </row>
    <row r="129" spans="1:13" ht="12.75" x14ac:dyDescent="0.2">
      <c r="A129" s="193">
        <v>6</v>
      </c>
      <c r="B129" s="178"/>
      <c r="C129" s="184" t="s">
        <v>101</v>
      </c>
      <c r="D129" s="185"/>
      <c r="E129" s="247"/>
      <c r="F129" s="248"/>
      <c r="G129" s="248"/>
      <c r="H129" s="248"/>
      <c r="I129" s="248"/>
      <c r="J129" s="249"/>
    </row>
    <row r="130" spans="1:13" x14ac:dyDescent="0.2">
      <c r="A130" s="161" t="s">
        <v>102</v>
      </c>
      <c r="B130" s="167"/>
      <c r="C130" s="236" t="s">
        <v>87</v>
      </c>
      <c r="D130" s="237"/>
      <c r="E130" s="237"/>
      <c r="F130" s="237"/>
      <c r="G130" s="237"/>
      <c r="H130" s="237"/>
      <c r="I130" s="237"/>
      <c r="J130" s="238"/>
      <c r="K130" s="28"/>
    </row>
    <row r="131" spans="1:13" x14ac:dyDescent="0.2">
      <c r="A131" s="174"/>
      <c r="B131" s="168" t="s">
        <v>501</v>
      </c>
      <c r="C131" s="168" t="s">
        <v>234</v>
      </c>
      <c r="D131" s="169" t="s">
        <v>265</v>
      </c>
      <c r="E131" s="170" t="s">
        <v>41</v>
      </c>
      <c r="F131" s="171">
        <v>53.88</v>
      </c>
      <c r="G131" s="44">
        <v>72.17</v>
      </c>
      <c r="H131" s="30">
        <f t="shared" ref="H131" si="62">ROUND((+F131*G131),2)</f>
        <v>3888.52</v>
      </c>
      <c r="I131" s="29">
        <f t="shared" ref="I131" si="63">ROUND((G131*$J$2)+G131,2)</f>
        <v>90.21</v>
      </c>
      <c r="J131" s="31">
        <f t="shared" ref="J131" si="64">ROUND((F131*I131),2)</f>
        <v>4860.51</v>
      </c>
    </row>
    <row r="132" spans="1:13" x14ac:dyDescent="0.2">
      <c r="A132" s="161" t="s">
        <v>103</v>
      </c>
      <c r="B132" s="167"/>
      <c r="C132" s="236" t="s">
        <v>64</v>
      </c>
      <c r="D132" s="237"/>
      <c r="E132" s="237"/>
      <c r="F132" s="237"/>
      <c r="G132" s="237"/>
      <c r="H132" s="237"/>
      <c r="I132" s="237"/>
      <c r="J132" s="238"/>
      <c r="K132" s="28"/>
    </row>
    <row r="133" spans="1:13" ht="45" x14ac:dyDescent="0.2">
      <c r="A133" s="174"/>
      <c r="B133" s="168" t="s">
        <v>85</v>
      </c>
      <c r="C133" s="168" t="s">
        <v>234</v>
      </c>
      <c r="D133" s="169" t="s">
        <v>351</v>
      </c>
      <c r="E133" s="170" t="s">
        <v>60</v>
      </c>
      <c r="F133" s="171">
        <v>2</v>
      </c>
      <c r="G133" s="44">
        <v>234.85</v>
      </c>
      <c r="H133" s="30">
        <f t="shared" ref="H133" si="65">ROUND((+F133*G133),2)</f>
        <v>469.7</v>
      </c>
      <c r="I133" s="29">
        <f t="shared" ref="I133" si="66">ROUND((G133*$J$2)+G133,2)</f>
        <v>293.56</v>
      </c>
      <c r="J133" s="31">
        <f t="shared" ref="J133" si="67">ROUND((F133*I133),2)</f>
        <v>587.12</v>
      </c>
    </row>
    <row r="134" spans="1:13" x14ac:dyDescent="0.2">
      <c r="A134" s="161" t="s">
        <v>32</v>
      </c>
      <c r="B134" s="167"/>
      <c r="C134" s="236" t="s">
        <v>65</v>
      </c>
      <c r="D134" s="237"/>
      <c r="E134" s="237"/>
      <c r="F134" s="237"/>
      <c r="G134" s="237"/>
      <c r="H134" s="237"/>
      <c r="I134" s="237"/>
      <c r="J134" s="238"/>
      <c r="K134" s="28"/>
    </row>
    <row r="135" spans="1:13" ht="33.75" x14ac:dyDescent="0.2">
      <c r="A135" s="174"/>
      <c r="B135" s="168" t="s">
        <v>93</v>
      </c>
      <c r="C135" s="168" t="s">
        <v>234</v>
      </c>
      <c r="D135" s="169" t="s">
        <v>364</v>
      </c>
      <c r="E135" s="170" t="s">
        <v>60</v>
      </c>
      <c r="F135" s="171">
        <v>1</v>
      </c>
      <c r="G135" s="44">
        <v>54.76</v>
      </c>
      <c r="H135" s="30">
        <f t="shared" si="7"/>
        <v>54.76</v>
      </c>
      <c r="I135" s="29">
        <f t="shared" ref="I135:I136" si="68">ROUND((G135*$J$2)+G135,2)</f>
        <v>68.45</v>
      </c>
      <c r="J135" s="31">
        <f t="shared" ref="J135:J136" si="69">ROUND((F135*I135),2)</f>
        <v>68.45</v>
      </c>
      <c r="K135" s="28"/>
    </row>
    <row r="136" spans="1:13" s="28" customFormat="1" ht="15.75" x14ac:dyDescent="0.25">
      <c r="A136" s="186"/>
      <c r="B136" s="168" t="s">
        <v>105</v>
      </c>
      <c r="C136" s="168" t="s">
        <v>234</v>
      </c>
      <c r="D136" s="169" t="s">
        <v>106</v>
      </c>
      <c r="E136" s="170" t="s">
        <v>60</v>
      </c>
      <c r="F136" s="171">
        <v>1</v>
      </c>
      <c r="G136" s="44">
        <v>14.65</v>
      </c>
      <c r="H136" s="30">
        <f t="shared" si="7"/>
        <v>14.65</v>
      </c>
      <c r="I136" s="29">
        <f t="shared" si="68"/>
        <v>18.309999999999999</v>
      </c>
      <c r="J136" s="31">
        <f t="shared" si="69"/>
        <v>18.309999999999999</v>
      </c>
      <c r="K136" s="97"/>
      <c r="M136" s="141"/>
    </row>
    <row r="137" spans="1:13" ht="12" x14ac:dyDescent="0.2">
      <c r="A137" s="233" t="s">
        <v>76</v>
      </c>
      <c r="B137" s="234"/>
      <c r="C137" s="234"/>
      <c r="D137" s="234"/>
      <c r="E137" s="234"/>
      <c r="F137" s="234"/>
      <c r="G137" s="234"/>
      <c r="H137" s="234"/>
      <c r="I137" s="235"/>
      <c r="J137" s="177">
        <f>SUM(J131,J133:J133,J135:J136)</f>
        <v>5534.39</v>
      </c>
    </row>
    <row r="138" spans="1:13" ht="12.75" x14ac:dyDescent="0.2">
      <c r="A138" s="193">
        <v>7</v>
      </c>
      <c r="B138" s="178"/>
      <c r="C138" s="244" t="s">
        <v>107</v>
      </c>
      <c r="D138" s="245"/>
      <c r="E138" s="245"/>
      <c r="F138" s="245"/>
      <c r="G138" s="245"/>
      <c r="H138" s="245"/>
      <c r="I138" s="245"/>
      <c r="J138" s="246"/>
    </row>
    <row r="139" spans="1:13" x14ac:dyDescent="0.2">
      <c r="A139" s="161" t="s">
        <v>33</v>
      </c>
      <c r="B139" s="167"/>
      <c r="C139" s="236" t="s">
        <v>64</v>
      </c>
      <c r="D139" s="237"/>
      <c r="E139" s="237"/>
      <c r="F139" s="237"/>
      <c r="G139" s="237"/>
      <c r="H139" s="237"/>
      <c r="I139" s="237"/>
      <c r="J139" s="238"/>
      <c r="K139" s="28"/>
    </row>
    <row r="140" spans="1:13" ht="45" x14ac:dyDescent="0.2">
      <c r="A140" s="174"/>
      <c r="B140" s="168" t="s">
        <v>85</v>
      </c>
      <c r="C140" s="168" t="s">
        <v>234</v>
      </c>
      <c r="D140" s="169" t="s">
        <v>104</v>
      </c>
      <c r="E140" s="170" t="s">
        <v>60</v>
      </c>
      <c r="F140" s="171">
        <v>2</v>
      </c>
      <c r="G140" s="44">
        <v>234.85</v>
      </c>
      <c r="H140" s="30">
        <f t="shared" ref="H140:H141" si="70">ROUND((+F140*G140),2)</f>
        <v>469.7</v>
      </c>
      <c r="I140" s="29">
        <f t="shared" ref="I140:I141" si="71">ROUND((G140*$J$2)+G140,2)</f>
        <v>293.56</v>
      </c>
      <c r="J140" s="31">
        <f t="shared" ref="J140:J141" si="72">ROUND((F140*I140),2)</f>
        <v>587.12</v>
      </c>
      <c r="K140" s="28"/>
    </row>
    <row r="141" spans="1:13" ht="22.5" x14ac:dyDescent="0.2">
      <c r="A141" s="174"/>
      <c r="B141" s="168" t="s">
        <v>108</v>
      </c>
      <c r="C141" s="168" t="s">
        <v>234</v>
      </c>
      <c r="D141" s="169" t="s">
        <v>109</v>
      </c>
      <c r="E141" s="170" t="s">
        <v>54</v>
      </c>
      <c r="F141" s="171">
        <f>((34*1.3)+((1.24+2.05+1.8+1.44+0.92)*2))*2</f>
        <v>118.2</v>
      </c>
      <c r="G141" s="44">
        <v>19.510000000000002</v>
      </c>
      <c r="H141" s="30">
        <f t="shared" si="70"/>
        <v>2306.08</v>
      </c>
      <c r="I141" s="29">
        <f t="shared" si="71"/>
        <v>24.39</v>
      </c>
      <c r="J141" s="31">
        <f t="shared" si="72"/>
        <v>2882.9</v>
      </c>
      <c r="K141" s="28"/>
    </row>
    <row r="142" spans="1:13" ht="12" x14ac:dyDescent="0.2">
      <c r="A142" s="233" t="s">
        <v>76</v>
      </c>
      <c r="B142" s="234"/>
      <c r="C142" s="234"/>
      <c r="D142" s="234"/>
      <c r="E142" s="234"/>
      <c r="F142" s="234"/>
      <c r="G142" s="234"/>
      <c r="H142" s="234"/>
      <c r="I142" s="235"/>
      <c r="J142" s="177">
        <f>SUM(J140:J141)</f>
        <v>3470.02</v>
      </c>
    </row>
    <row r="143" spans="1:13" ht="12.75" x14ac:dyDescent="0.2">
      <c r="A143" s="193">
        <v>8</v>
      </c>
      <c r="B143" s="178"/>
      <c r="C143" s="244" t="s">
        <v>110</v>
      </c>
      <c r="D143" s="245"/>
      <c r="E143" s="245"/>
      <c r="F143" s="245"/>
      <c r="G143" s="245"/>
      <c r="H143" s="245"/>
      <c r="I143" s="245"/>
      <c r="J143" s="246"/>
    </row>
    <row r="144" spans="1:13" x14ac:dyDescent="0.2">
      <c r="A144" s="161" t="s">
        <v>34</v>
      </c>
      <c r="B144" s="167"/>
      <c r="C144" s="236" t="s">
        <v>64</v>
      </c>
      <c r="D144" s="237"/>
      <c r="E144" s="237"/>
      <c r="F144" s="237"/>
      <c r="G144" s="237"/>
      <c r="H144" s="237"/>
      <c r="I144" s="237"/>
      <c r="J144" s="238"/>
      <c r="K144" s="28"/>
    </row>
    <row r="145" spans="1:18" ht="22.5" x14ac:dyDescent="0.2">
      <c r="A145" s="174"/>
      <c r="B145" s="168" t="s">
        <v>108</v>
      </c>
      <c r="C145" s="168" t="s">
        <v>234</v>
      </c>
      <c r="D145" s="169" t="s">
        <v>111</v>
      </c>
      <c r="E145" s="170" t="s">
        <v>54</v>
      </c>
      <c r="F145" s="171">
        <v>35.36</v>
      </c>
      <c r="G145" s="44">
        <v>19.510000000000002</v>
      </c>
      <c r="H145" s="30">
        <f t="shared" ref="H145:H198" si="73">ROUND((+F145*G145),2)</f>
        <v>689.87</v>
      </c>
      <c r="I145" s="29">
        <f t="shared" ref="I145:I198" si="74">ROUND((G145*$J$2)+G145,2)</f>
        <v>24.39</v>
      </c>
      <c r="J145" s="31">
        <f t="shared" ref="J145:J155" si="75">ROUND((F145*I145),2)</f>
        <v>862.43</v>
      </c>
    </row>
    <row r="146" spans="1:18" x14ac:dyDescent="0.2">
      <c r="A146" s="161" t="s">
        <v>35</v>
      </c>
      <c r="B146" s="167"/>
      <c r="C146" s="236" t="s">
        <v>490</v>
      </c>
      <c r="D146" s="237"/>
      <c r="E146" s="237"/>
      <c r="F146" s="237"/>
      <c r="G146" s="237"/>
      <c r="H146" s="237"/>
      <c r="I146" s="237"/>
      <c r="J146" s="238"/>
      <c r="K146" s="28"/>
    </row>
    <row r="147" spans="1:18" s="28" customFormat="1" ht="22.5" x14ac:dyDescent="0.2">
      <c r="A147" s="186"/>
      <c r="B147" s="168" t="s">
        <v>503</v>
      </c>
      <c r="C147" s="168" t="s">
        <v>486</v>
      </c>
      <c r="D147" s="169" t="s">
        <v>492</v>
      </c>
      <c r="E147" s="170" t="s">
        <v>60</v>
      </c>
      <c r="F147" s="171">
        <v>35</v>
      </c>
      <c r="G147" s="44">
        <v>13.56</v>
      </c>
      <c r="H147" s="30">
        <f t="shared" si="73"/>
        <v>474.6</v>
      </c>
      <c r="I147" s="29">
        <f t="shared" si="74"/>
        <v>16.95</v>
      </c>
      <c r="J147" s="31">
        <f t="shared" si="75"/>
        <v>593.25</v>
      </c>
      <c r="M147" s="141"/>
    </row>
    <row r="148" spans="1:18" s="28" customFormat="1" ht="22.5" x14ac:dyDescent="0.2">
      <c r="A148" s="186"/>
      <c r="B148" s="168" t="s">
        <v>487</v>
      </c>
      <c r="C148" s="168" t="s">
        <v>486</v>
      </c>
      <c r="D148" s="169" t="s">
        <v>494</v>
      </c>
      <c r="E148" s="170" t="s">
        <v>60</v>
      </c>
      <c r="F148" s="171">
        <f>SUM(576+16)</f>
        <v>592</v>
      </c>
      <c r="G148" s="44">
        <v>5.37</v>
      </c>
      <c r="H148" s="30">
        <f t="shared" si="73"/>
        <v>3179.04</v>
      </c>
      <c r="I148" s="29">
        <f t="shared" si="74"/>
        <v>6.71</v>
      </c>
      <c r="J148" s="31">
        <f t="shared" si="75"/>
        <v>3972.32</v>
      </c>
      <c r="M148" s="141"/>
    </row>
    <row r="149" spans="1:18" s="28" customFormat="1" ht="22.5" x14ac:dyDescent="0.2">
      <c r="A149" s="186"/>
      <c r="B149" s="168" t="s">
        <v>289</v>
      </c>
      <c r="C149" s="168" t="s">
        <v>234</v>
      </c>
      <c r="D149" s="169" t="s">
        <v>493</v>
      </c>
      <c r="E149" s="170" t="s">
        <v>54</v>
      </c>
      <c r="F149" s="171">
        <v>54.6</v>
      </c>
      <c r="G149" s="44">
        <v>84.69</v>
      </c>
      <c r="H149" s="30">
        <f t="shared" si="73"/>
        <v>4624.07</v>
      </c>
      <c r="I149" s="29">
        <f t="shared" si="74"/>
        <v>105.86</v>
      </c>
      <c r="J149" s="31">
        <f t="shared" si="75"/>
        <v>5779.96</v>
      </c>
      <c r="M149" s="141"/>
    </row>
    <row r="150" spans="1:18" ht="12" x14ac:dyDescent="0.2">
      <c r="A150" s="233" t="s">
        <v>76</v>
      </c>
      <c r="B150" s="234"/>
      <c r="C150" s="234"/>
      <c r="D150" s="234"/>
      <c r="E150" s="234"/>
      <c r="F150" s="234"/>
      <c r="G150" s="234"/>
      <c r="H150" s="234"/>
      <c r="I150" s="235"/>
      <c r="J150" s="177">
        <f>SUM(J145,J147:J149)</f>
        <v>11207.96</v>
      </c>
    </row>
    <row r="151" spans="1:18" ht="12.75" x14ac:dyDescent="0.2">
      <c r="A151" s="193">
        <v>9</v>
      </c>
      <c r="B151" s="178"/>
      <c r="C151" s="244" t="s">
        <v>130</v>
      </c>
      <c r="D151" s="245"/>
      <c r="E151" s="245"/>
      <c r="F151" s="245"/>
      <c r="G151" s="245"/>
      <c r="H151" s="245"/>
      <c r="I151" s="245"/>
      <c r="J151" s="246"/>
    </row>
    <row r="152" spans="1:18" x14ac:dyDescent="0.2">
      <c r="A152" s="161" t="s">
        <v>36</v>
      </c>
      <c r="B152" s="167"/>
      <c r="C152" s="236" t="s">
        <v>133</v>
      </c>
      <c r="D152" s="237"/>
      <c r="E152" s="237"/>
      <c r="F152" s="237"/>
      <c r="G152" s="237"/>
      <c r="H152" s="237"/>
      <c r="I152" s="237"/>
      <c r="J152" s="238"/>
      <c r="K152" s="28"/>
    </row>
    <row r="153" spans="1:18" ht="33.75" x14ac:dyDescent="0.2">
      <c r="A153" s="174"/>
      <c r="B153" s="168" t="s">
        <v>231</v>
      </c>
      <c r="C153" s="168" t="s">
        <v>234</v>
      </c>
      <c r="D153" s="169" t="s">
        <v>304</v>
      </c>
      <c r="E153" s="170" t="s">
        <v>60</v>
      </c>
      <c r="F153" s="171">
        <v>10</v>
      </c>
      <c r="G153" s="44">
        <v>658.2</v>
      </c>
      <c r="H153" s="30">
        <f t="shared" si="73"/>
        <v>6582</v>
      </c>
      <c r="I153" s="29">
        <f t="shared" si="74"/>
        <v>822.75</v>
      </c>
      <c r="J153" s="31">
        <f t="shared" si="75"/>
        <v>8227.5</v>
      </c>
    </row>
    <row r="154" spans="1:18" s="28" customFormat="1" ht="22.5" x14ac:dyDescent="0.2">
      <c r="A154" s="186"/>
      <c r="B154" s="168" t="s">
        <v>234</v>
      </c>
      <c r="C154" s="168" t="s">
        <v>235</v>
      </c>
      <c r="D154" s="169" t="s">
        <v>131</v>
      </c>
      <c r="E154" s="170" t="s">
        <v>60</v>
      </c>
      <c r="F154" s="171">
        <v>10</v>
      </c>
      <c r="G154" s="44">
        <v>65.040000000000006</v>
      </c>
      <c r="H154" s="30">
        <f t="shared" si="73"/>
        <v>650.4</v>
      </c>
      <c r="I154" s="29">
        <f t="shared" si="74"/>
        <v>81.3</v>
      </c>
      <c r="J154" s="31">
        <f t="shared" si="75"/>
        <v>813</v>
      </c>
      <c r="M154" s="141"/>
    </row>
    <row r="155" spans="1:18" ht="33.75" x14ac:dyDescent="0.2">
      <c r="A155" s="174"/>
      <c r="B155" s="168" t="s">
        <v>305</v>
      </c>
      <c r="C155" s="168" t="s">
        <v>234</v>
      </c>
      <c r="D155" s="169" t="s">
        <v>132</v>
      </c>
      <c r="E155" s="170" t="s">
        <v>60</v>
      </c>
      <c r="F155" s="171">
        <v>10</v>
      </c>
      <c r="G155" s="44">
        <v>101.56</v>
      </c>
      <c r="H155" s="30">
        <f t="shared" si="73"/>
        <v>1015.6</v>
      </c>
      <c r="I155" s="29">
        <f t="shared" si="74"/>
        <v>126.95</v>
      </c>
      <c r="J155" s="31">
        <f t="shared" si="75"/>
        <v>1269.5</v>
      </c>
    </row>
    <row r="156" spans="1:18" ht="22.5" x14ac:dyDescent="0.2">
      <c r="A156" s="174"/>
      <c r="B156" s="168" t="s">
        <v>308</v>
      </c>
      <c r="C156" s="168" t="s">
        <v>234</v>
      </c>
      <c r="D156" s="169" t="s">
        <v>136</v>
      </c>
      <c r="E156" s="170" t="s">
        <v>60</v>
      </c>
      <c r="F156" s="171">
        <v>20</v>
      </c>
      <c r="G156" s="44">
        <v>240.63</v>
      </c>
      <c r="H156" s="30">
        <f t="shared" ref="H156:H158" si="76">ROUND((+F156*G156),2)</f>
        <v>4812.6000000000004</v>
      </c>
      <c r="I156" s="29">
        <f t="shared" ref="I156:I158" si="77">ROUND((G156*$J$2)+G156,2)</f>
        <v>300.79000000000002</v>
      </c>
      <c r="J156" s="31">
        <f>ROUND((F156*I156),2)</f>
        <v>6015.8</v>
      </c>
    </row>
    <row r="157" spans="1:18" ht="22.5" x14ac:dyDescent="0.2">
      <c r="A157" s="174"/>
      <c r="B157" s="168" t="s">
        <v>306</v>
      </c>
      <c r="C157" s="168" t="s">
        <v>234</v>
      </c>
      <c r="D157" s="169" t="s">
        <v>134</v>
      </c>
      <c r="E157" s="170" t="s">
        <v>60</v>
      </c>
      <c r="F157" s="171">
        <v>10</v>
      </c>
      <c r="G157" s="44">
        <v>205.34</v>
      </c>
      <c r="H157" s="30">
        <f t="shared" si="76"/>
        <v>2053.4</v>
      </c>
      <c r="I157" s="29">
        <f t="shared" si="77"/>
        <v>256.68</v>
      </c>
      <c r="J157" s="31">
        <f>ROUND((F157*I157),2)</f>
        <v>2566.8000000000002</v>
      </c>
    </row>
    <row r="158" spans="1:18" ht="22.5" x14ac:dyDescent="0.2">
      <c r="A158" s="174"/>
      <c r="B158" s="168" t="s">
        <v>307</v>
      </c>
      <c r="C158" s="168" t="s">
        <v>234</v>
      </c>
      <c r="D158" s="169" t="s">
        <v>135</v>
      </c>
      <c r="E158" s="170" t="s">
        <v>60</v>
      </c>
      <c r="F158" s="171">
        <v>20</v>
      </c>
      <c r="G158" s="44">
        <v>217.58</v>
      </c>
      <c r="H158" s="30">
        <f t="shared" si="76"/>
        <v>4351.6000000000004</v>
      </c>
      <c r="I158" s="29">
        <f t="shared" si="77"/>
        <v>271.98</v>
      </c>
      <c r="J158" s="31">
        <f>ROUND((F158*I158),2)</f>
        <v>5439.6</v>
      </c>
      <c r="K158" s="57"/>
      <c r="L158" s="58"/>
      <c r="M158" s="143"/>
      <c r="N158" s="58"/>
      <c r="O158" s="58"/>
      <c r="P158" s="58"/>
      <c r="Q158" s="58"/>
      <c r="R158" s="58"/>
    </row>
    <row r="159" spans="1:18" x14ac:dyDescent="0.2">
      <c r="A159" s="161" t="s">
        <v>137</v>
      </c>
      <c r="B159" s="167"/>
      <c r="C159" s="236" t="s">
        <v>138</v>
      </c>
      <c r="D159" s="237"/>
      <c r="E159" s="237"/>
      <c r="F159" s="237"/>
      <c r="G159" s="237"/>
      <c r="H159" s="237"/>
      <c r="I159" s="237"/>
      <c r="J159" s="238"/>
      <c r="K159" s="28"/>
      <c r="L159" s="58"/>
      <c r="M159" s="143"/>
      <c r="N159" s="58"/>
      <c r="O159" s="58"/>
      <c r="P159" s="58"/>
      <c r="Q159" s="58"/>
      <c r="R159" s="58"/>
    </row>
    <row r="160" spans="1:18" ht="22.5" x14ac:dyDescent="0.2">
      <c r="A160" s="179"/>
      <c r="B160" s="151" t="s">
        <v>296</v>
      </c>
      <c r="C160" s="152" t="s">
        <v>234</v>
      </c>
      <c r="D160" s="153" t="s">
        <v>439</v>
      </c>
      <c r="E160" s="154" t="s">
        <v>54</v>
      </c>
      <c r="F160" s="155">
        <v>1.85</v>
      </c>
      <c r="G160" s="187">
        <v>609.52</v>
      </c>
      <c r="H160" s="30">
        <f t="shared" ref="H160" si="78">ROUND((+F160*G160),2)</f>
        <v>1127.6099999999999</v>
      </c>
      <c r="I160" s="29">
        <f t="shared" ref="I160" si="79">ROUND((G160*$J$2)+G160,2)</f>
        <v>761.9</v>
      </c>
      <c r="J160" s="31">
        <f t="shared" ref="J160" si="80">ROUND((F160*I160),2)</f>
        <v>1409.52</v>
      </c>
      <c r="K160" s="28"/>
      <c r="L160" s="58"/>
      <c r="M160" s="143"/>
      <c r="N160" s="58"/>
      <c r="O160" s="58"/>
      <c r="P160" s="58"/>
      <c r="Q160" s="58"/>
      <c r="R160" s="58"/>
    </row>
    <row r="161" spans="1:18" ht="56.25" x14ac:dyDescent="0.2">
      <c r="A161" s="174"/>
      <c r="B161" s="151" t="s">
        <v>291</v>
      </c>
      <c r="C161" s="168" t="s">
        <v>234</v>
      </c>
      <c r="D161" s="188" t="s">
        <v>309</v>
      </c>
      <c r="E161" s="170" t="s">
        <v>54</v>
      </c>
      <c r="F161" s="171">
        <v>44</v>
      </c>
      <c r="G161" s="44">
        <v>188.05</v>
      </c>
      <c r="H161" s="30">
        <f t="shared" ref="H161:H194" si="81">ROUND((+F161*G161),2)</f>
        <v>8274.2000000000007</v>
      </c>
      <c r="I161" s="29">
        <f t="shared" ref="I161:I194" si="82">ROUND((G161*$J$2)+G161,2)</f>
        <v>235.06</v>
      </c>
      <c r="J161" s="31">
        <f t="shared" ref="J161:J194" si="83">ROUND((F161*I161),2)</f>
        <v>10342.64</v>
      </c>
      <c r="K161" s="28"/>
      <c r="L161" s="58"/>
      <c r="M161" s="143"/>
      <c r="N161" s="58"/>
      <c r="O161" s="58"/>
      <c r="P161" s="58"/>
      <c r="Q161" s="58"/>
      <c r="R161" s="58"/>
    </row>
    <row r="162" spans="1:18" s="28" customFormat="1" ht="45" x14ac:dyDescent="0.2">
      <c r="A162" s="224"/>
      <c r="B162" s="152" t="s">
        <v>331</v>
      </c>
      <c r="C162" s="152" t="s">
        <v>235</v>
      </c>
      <c r="D162" s="153" t="s">
        <v>333</v>
      </c>
      <c r="E162" s="164" t="s">
        <v>332</v>
      </c>
      <c r="F162" s="29">
        <v>8</v>
      </c>
      <c r="G162" s="225">
        <v>26.91</v>
      </c>
      <c r="H162" s="30">
        <f t="shared" si="81"/>
        <v>215.28</v>
      </c>
      <c r="I162" s="29">
        <f t="shared" si="82"/>
        <v>33.64</v>
      </c>
      <c r="J162" s="30">
        <f t="shared" si="83"/>
        <v>269.12</v>
      </c>
      <c r="L162" s="226"/>
      <c r="M162" s="227"/>
      <c r="N162" s="226"/>
      <c r="O162" s="226"/>
      <c r="P162" s="226"/>
      <c r="Q162" s="226"/>
      <c r="R162" s="226"/>
    </row>
    <row r="163" spans="1:18" x14ac:dyDescent="0.2">
      <c r="A163" s="161" t="s">
        <v>223</v>
      </c>
      <c r="B163" s="167"/>
      <c r="C163" s="236" t="s">
        <v>506</v>
      </c>
      <c r="D163" s="237"/>
      <c r="E163" s="237"/>
      <c r="F163" s="237"/>
      <c r="G163" s="237"/>
      <c r="H163" s="237"/>
      <c r="I163" s="237"/>
      <c r="J163" s="238"/>
      <c r="K163" s="28"/>
      <c r="L163" s="58"/>
      <c r="M163" s="143"/>
      <c r="N163" s="58"/>
      <c r="O163" s="58"/>
      <c r="P163" s="58"/>
      <c r="Q163" s="58"/>
      <c r="R163" s="58"/>
    </row>
    <row r="164" spans="1:18" x14ac:dyDescent="0.2">
      <c r="A164" s="194"/>
      <c r="B164" s="151" t="s">
        <v>267</v>
      </c>
      <c r="C164" s="151" t="s">
        <v>234</v>
      </c>
      <c r="D164" s="166" t="s">
        <v>507</v>
      </c>
      <c r="E164" s="154" t="s">
        <v>508</v>
      </c>
      <c r="F164" s="195">
        <v>0.16</v>
      </c>
      <c r="G164" s="196">
        <v>134.94999999999999</v>
      </c>
      <c r="H164" s="197">
        <f>ROUND((+F164*G164),2)</f>
        <v>21.59</v>
      </c>
      <c r="I164" s="2">
        <f>ROUND((G164*$J$2)+G164,2)</f>
        <v>168.69</v>
      </c>
      <c r="J164" s="198">
        <f>ROUND((F164*I164),2)</f>
        <v>26.99</v>
      </c>
      <c r="K164" s="28"/>
      <c r="L164" s="58"/>
      <c r="M164" s="143"/>
      <c r="N164" s="58"/>
      <c r="O164" s="58"/>
      <c r="P164" s="58"/>
      <c r="Q164" s="58"/>
      <c r="R164" s="58"/>
    </row>
    <row r="165" spans="1:18" x14ac:dyDescent="0.2">
      <c r="A165" s="194"/>
      <c r="B165" s="151" t="s">
        <v>509</v>
      </c>
      <c r="C165" s="151" t="s">
        <v>234</v>
      </c>
      <c r="D165" s="166" t="s">
        <v>510</v>
      </c>
      <c r="E165" s="154" t="s">
        <v>511</v>
      </c>
      <c r="F165" s="195">
        <v>0.36</v>
      </c>
      <c r="G165" s="196">
        <v>9.41</v>
      </c>
      <c r="H165" s="197">
        <f>ROUND((+F165*G165),2)</f>
        <v>3.39</v>
      </c>
      <c r="I165" s="2">
        <f>ROUND((G165*$J$2)+G165,2)</f>
        <v>11.76</v>
      </c>
      <c r="J165" s="198">
        <f>ROUND((F165*I165),2)</f>
        <v>4.2300000000000004</v>
      </c>
      <c r="K165" s="28"/>
      <c r="L165" s="58"/>
      <c r="M165" s="143"/>
      <c r="N165" s="58"/>
      <c r="O165" s="58"/>
      <c r="P165" s="58"/>
      <c r="Q165" s="58"/>
      <c r="R165" s="58"/>
    </row>
    <row r="166" spans="1:18" x14ac:dyDescent="0.2">
      <c r="A166" s="194"/>
      <c r="B166" s="151" t="s">
        <v>267</v>
      </c>
      <c r="C166" s="151" t="s">
        <v>234</v>
      </c>
      <c r="D166" s="166" t="s">
        <v>512</v>
      </c>
      <c r="E166" s="154" t="s">
        <v>508</v>
      </c>
      <c r="F166" s="195">
        <v>0.08</v>
      </c>
      <c r="G166" s="196">
        <v>134.94999999999999</v>
      </c>
      <c r="H166" s="197">
        <f>ROUND((+F166*G166),2)</f>
        <v>10.8</v>
      </c>
      <c r="I166" s="2">
        <f>ROUND((G166*$J$2)+G166,2)</f>
        <v>168.69</v>
      </c>
      <c r="J166" s="198">
        <f>ROUND((F166*I166),2)</f>
        <v>13.5</v>
      </c>
      <c r="K166" s="28"/>
      <c r="L166" s="58"/>
      <c r="M166" s="143"/>
      <c r="N166" s="58"/>
      <c r="O166" s="58"/>
      <c r="P166" s="58"/>
      <c r="Q166" s="58"/>
      <c r="R166" s="58"/>
    </row>
    <row r="167" spans="1:18" x14ac:dyDescent="0.2">
      <c r="A167" s="194"/>
      <c r="B167" s="151" t="s">
        <v>227</v>
      </c>
      <c r="C167" s="151" t="s">
        <v>234</v>
      </c>
      <c r="D167" s="166" t="s">
        <v>513</v>
      </c>
      <c r="E167" s="154" t="s">
        <v>511</v>
      </c>
      <c r="F167" s="195">
        <v>0.08</v>
      </c>
      <c r="G167" s="196">
        <v>2.5299999999999998</v>
      </c>
      <c r="H167" s="197">
        <f>ROUND((+F167*G167),2)</f>
        <v>0.2</v>
      </c>
      <c r="I167" s="2">
        <f>ROUND((G167*$J$2)+G167,2)</f>
        <v>3.16</v>
      </c>
      <c r="J167" s="198">
        <f>ROUND((F167*I167),2)</f>
        <v>0.25</v>
      </c>
      <c r="K167" s="28"/>
      <c r="L167" s="58"/>
      <c r="M167" s="143"/>
      <c r="N167" s="58"/>
      <c r="O167" s="58"/>
      <c r="P167" s="58"/>
      <c r="Q167" s="58"/>
      <c r="R167" s="58"/>
    </row>
    <row r="168" spans="1:18" ht="22.5" x14ac:dyDescent="0.2">
      <c r="A168" s="194"/>
      <c r="B168" s="151" t="s">
        <v>514</v>
      </c>
      <c r="C168" s="151" t="s">
        <v>234</v>
      </c>
      <c r="D168" s="199" t="s">
        <v>515</v>
      </c>
      <c r="E168" s="154" t="s">
        <v>511</v>
      </c>
      <c r="F168" s="195">
        <v>0.08</v>
      </c>
      <c r="G168" s="196">
        <v>4.6900000000000004</v>
      </c>
      <c r="H168" s="197">
        <f>ROUND((+F168*G168),2)</f>
        <v>0.38</v>
      </c>
      <c r="I168" s="2">
        <f>ROUND((G168*$J$2)+G168,2)</f>
        <v>5.86</v>
      </c>
      <c r="J168" s="198">
        <f>ROUND((F168*I168),2)</f>
        <v>0.47</v>
      </c>
      <c r="K168" s="28"/>
      <c r="L168" s="58"/>
      <c r="M168" s="143"/>
      <c r="N168" s="58"/>
      <c r="O168" s="58"/>
      <c r="P168" s="58"/>
      <c r="Q168" s="58"/>
      <c r="R168" s="58"/>
    </row>
    <row r="169" spans="1:18" ht="22.5" x14ac:dyDescent="0.2">
      <c r="A169" s="194"/>
      <c r="B169" s="151" t="s">
        <v>516</v>
      </c>
      <c r="C169" s="151" t="s">
        <v>234</v>
      </c>
      <c r="D169" s="166" t="s">
        <v>517</v>
      </c>
      <c r="E169" s="154" t="s">
        <v>511</v>
      </c>
      <c r="F169" s="195">
        <v>0.08</v>
      </c>
      <c r="G169" s="196">
        <v>12.43</v>
      </c>
      <c r="H169" s="197">
        <f t="shared" ref="H169:H174" si="84">ROUND((+F169*G169),2)</f>
        <v>0.99</v>
      </c>
      <c r="I169" s="2">
        <f t="shared" ref="I169:I174" si="85">ROUND((G169*$J$2)+G169,2)</f>
        <v>15.54</v>
      </c>
      <c r="J169" s="198">
        <f t="shared" ref="J169:J174" si="86">ROUND((F169*I169),2)</f>
        <v>1.24</v>
      </c>
      <c r="K169" s="28"/>
      <c r="L169" s="58"/>
      <c r="M169" s="143"/>
      <c r="N169" s="58"/>
      <c r="O169" s="58"/>
      <c r="P169" s="58"/>
      <c r="Q169" s="58"/>
      <c r="R169" s="58"/>
    </row>
    <row r="170" spans="1:18" ht="22.5" x14ac:dyDescent="0.2">
      <c r="A170" s="194"/>
      <c r="B170" s="151" t="s">
        <v>518</v>
      </c>
      <c r="C170" s="151" t="s">
        <v>234</v>
      </c>
      <c r="D170" s="200" t="s">
        <v>519</v>
      </c>
      <c r="E170" s="154" t="s">
        <v>511</v>
      </c>
      <c r="F170" s="195">
        <v>0.28000000000000003</v>
      </c>
      <c r="G170" s="196">
        <v>64.06</v>
      </c>
      <c r="H170" s="197">
        <f t="shared" si="84"/>
        <v>17.940000000000001</v>
      </c>
      <c r="I170" s="2">
        <f t="shared" si="85"/>
        <v>80.08</v>
      </c>
      <c r="J170" s="198">
        <f t="shared" si="86"/>
        <v>22.42</v>
      </c>
      <c r="K170" s="28"/>
      <c r="L170" s="58"/>
      <c r="M170" s="143"/>
      <c r="N170" s="58"/>
      <c r="O170" s="58"/>
      <c r="P170" s="58"/>
      <c r="Q170" s="58"/>
      <c r="R170" s="58"/>
    </row>
    <row r="171" spans="1:18" x14ac:dyDescent="0.2">
      <c r="A171" s="194"/>
      <c r="B171" s="201" t="s">
        <v>251</v>
      </c>
      <c r="C171" s="151" t="s">
        <v>234</v>
      </c>
      <c r="D171" s="200" t="s">
        <v>520</v>
      </c>
      <c r="E171" s="154" t="s">
        <v>508</v>
      </c>
      <c r="F171" s="195">
        <v>0.11</v>
      </c>
      <c r="G171" s="196">
        <v>490.66</v>
      </c>
      <c r="H171" s="197">
        <f t="shared" si="84"/>
        <v>53.97</v>
      </c>
      <c r="I171" s="2">
        <f t="shared" si="85"/>
        <v>613.33000000000004</v>
      </c>
      <c r="J171" s="198">
        <f t="shared" si="86"/>
        <v>67.47</v>
      </c>
      <c r="K171" s="28"/>
      <c r="L171" s="58"/>
      <c r="M171" s="143"/>
      <c r="N171" s="58"/>
      <c r="O171" s="58"/>
      <c r="P171" s="58"/>
      <c r="Q171" s="58"/>
      <c r="R171" s="58"/>
    </row>
    <row r="172" spans="1:18" x14ac:dyDescent="0.2">
      <c r="A172" s="194"/>
      <c r="B172" s="151" t="s">
        <v>227</v>
      </c>
      <c r="C172" s="151" t="s">
        <v>234</v>
      </c>
      <c r="D172" s="166" t="s">
        <v>521</v>
      </c>
      <c r="E172" s="154" t="s">
        <v>511</v>
      </c>
      <c r="F172" s="195">
        <v>0.28000000000000003</v>
      </c>
      <c r="G172" s="196">
        <v>2.5299999999999998</v>
      </c>
      <c r="H172" s="197">
        <f t="shared" si="84"/>
        <v>0.71</v>
      </c>
      <c r="I172" s="2">
        <f t="shared" si="85"/>
        <v>3.16</v>
      </c>
      <c r="J172" s="198">
        <f t="shared" si="86"/>
        <v>0.88</v>
      </c>
      <c r="K172" s="28"/>
      <c r="L172" s="58"/>
      <c r="M172" s="143"/>
      <c r="N172" s="58"/>
      <c r="O172" s="58"/>
      <c r="P172" s="58"/>
      <c r="Q172" s="58"/>
      <c r="R172" s="58"/>
    </row>
    <row r="173" spans="1:18" x14ac:dyDescent="0.2">
      <c r="A173" s="194"/>
      <c r="B173" s="151" t="s">
        <v>522</v>
      </c>
      <c r="C173" s="151" t="s">
        <v>234</v>
      </c>
      <c r="D173" s="166" t="s">
        <v>523</v>
      </c>
      <c r="E173" s="154" t="s">
        <v>511</v>
      </c>
      <c r="F173" s="195">
        <v>0.28000000000000003</v>
      </c>
      <c r="G173" s="196">
        <v>51.99</v>
      </c>
      <c r="H173" s="197">
        <f t="shared" si="84"/>
        <v>14.56</v>
      </c>
      <c r="I173" s="2">
        <f t="shared" si="85"/>
        <v>64.989999999999995</v>
      </c>
      <c r="J173" s="198">
        <f t="shared" si="86"/>
        <v>18.2</v>
      </c>
      <c r="K173" s="28"/>
      <c r="L173" s="58"/>
      <c r="M173" s="143"/>
      <c r="N173" s="58"/>
      <c r="O173" s="58"/>
      <c r="P173" s="58"/>
      <c r="Q173" s="58"/>
      <c r="R173" s="58"/>
    </row>
    <row r="174" spans="1:18" ht="33.75" x14ac:dyDescent="0.2">
      <c r="A174" s="194"/>
      <c r="B174" s="151" t="s">
        <v>71</v>
      </c>
      <c r="C174" s="151" t="s">
        <v>234</v>
      </c>
      <c r="D174" s="202" t="s">
        <v>524</v>
      </c>
      <c r="E174" s="154" t="s">
        <v>41</v>
      </c>
      <c r="F174" s="195">
        <v>1.17</v>
      </c>
      <c r="G174" s="196">
        <v>16.190000000000001</v>
      </c>
      <c r="H174" s="197">
        <f t="shared" si="84"/>
        <v>18.940000000000001</v>
      </c>
      <c r="I174" s="2">
        <f t="shared" si="85"/>
        <v>20.239999999999998</v>
      </c>
      <c r="J174" s="198">
        <f t="shared" si="86"/>
        <v>23.68</v>
      </c>
      <c r="K174" s="28"/>
      <c r="L174" s="58"/>
      <c r="M174" s="143"/>
      <c r="N174" s="58"/>
      <c r="O174" s="58"/>
      <c r="P174" s="58"/>
      <c r="Q174" s="58"/>
      <c r="R174" s="58"/>
    </row>
    <row r="175" spans="1:18" x14ac:dyDescent="0.2">
      <c r="A175" s="161" t="s">
        <v>472</v>
      </c>
      <c r="B175" s="167"/>
      <c r="C175" s="236" t="s">
        <v>525</v>
      </c>
      <c r="D175" s="237"/>
      <c r="E175" s="237"/>
      <c r="F175" s="237"/>
      <c r="G175" s="237"/>
      <c r="H175" s="237"/>
      <c r="I175" s="237"/>
      <c r="J175" s="238"/>
      <c r="K175" s="28"/>
      <c r="L175" s="58"/>
      <c r="M175" s="143"/>
      <c r="N175" s="58"/>
      <c r="O175" s="58"/>
      <c r="P175" s="58"/>
      <c r="Q175" s="58"/>
      <c r="R175" s="58"/>
    </row>
    <row r="176" spans="1:18" ht="33.75" x14ac:dyDescent="0.2">
      <c r="A176" s="194"/>
      <c r="B176" s="151" t="s">
        <v>66</v>
      </c>
      <c r="C176" s="151" t="s">
        <v>234</v>
      </c>
      <c r="D176" s="166" t="s">
        <v>526</v>
      </c>
      <c r="E176" s="154" t="s">
        <v>54</v>
      </c>
      <c r="F176" s="2">
        <f>SUM(4.5*3)</f>
        <v>13.5</v>
      </c>
      <c r="G176" s="203">
        <v>13.36</v>
      </c>
      <c r="H176" s="197">
        <f t="shared" ref="H176:H186" si="87">ROUND((+F176*G176),2)</f>
        <v>180.36</v>
      </c>
      <c r="I176" s="2">
        <f t="shared" ref="I176:I189" si="88">ROUND((G176*$J$2)+G176,2)</f>
        <v>16.7</v>
      </c>
      <c r="J176" s="198">
        <f t="shared" ref="J176:J189" si="89">ROUND((F176*I176),2)</f>
        <v>225.45</v>
      </c>
      <c r="K176" s="28"/>
      <c r="L176" s="58"/>
      <c r="M176" s="143"/>
      <c r="N176" s="58"/>
      <c r="O176" s="58"/>
      <c r="P176" s="58"/>
      <c r="Q176" s="58"/>
      <c r="R176" s="58"/>
    </row>
    <row r="177" spans="1:18" ht="33.75" x14ac:dyDescent="0.2">
      <c r="A177" s="194"/>
      <c r="B177" s="151" t="s">
        <v>66</v>
      </c>
      <c r="C177" s="151" t="s">
        <v>234</v>
      </c>
      <c r="D177" s="166" t="s">
        <v>527</v>
      </c>
      <c r="E177" s="154" t="s">
        <v>54</v>
      </c>
      <c r="F177" s="2">
        <v>4.5</v>
      </c>
      <c r="G177" s="203">
        <v>13.36</v>
      </c>
      <c r="H177" s="197">
        <f t="shared" si="87"/>
        <v>60.12</v>
      </c>
      <c r="I177" s="2">
        <f t="shared" si="88"/>
        <v>16.7</v>
      </c>
      <c r="J177" s="198">
        <f t="shared" si="89"/>
        <v>75.150000000000006</v>
      </c>
      <c r="K177" s="28"/>
      <c r="L177" s="58"/>
      <c r="M177" s="143"/>
      <c r="N177" s="58"/>
      <c r="O177" s="58"/>
      <c r="P177" s="58"/>
      <c r="Q177" s="58"/>
      <c r="R177" s="58"/>
    </row>
    <row r="178" spans="1:18" ht="33.75" x14ac:dyDescent="0.2">
      <c r="A178" s="194"/>
      <c r="B178" s="151" t="s">
        <v>66</v>
      </c>
      <c r="C178" s="151" t="s">
        <v>234</v>
      </c>
      <c r="D178" s="166" t="s">
        <v>528</v>
      </c>
      <c r="E178" s="154" t="s">
        <v>54</v>
      </c>
      <c r="F178" s="2">
        <v>4.5</v>
      </c>
      <c r="G178" s="203">
        <v>13.36</v>
      </c>
      <c r="H178" s="197">
        <f t="shared" si="87"/>
        <v>60.12</v>
      </c>
      <c r="I178" s="2">
        <f t="shared" si="88"/>
        <v>16.7</v>
      </c>
      <c r="J178" s="198">
        <f t="shared" si="89"/>
        <v>75.150000000000006</v>
      </c>
      <c r="K178" s="28"/>
      <c r="L178" s="58"/>
      <c r="M178" s="143"/>
      <c r="N178" s="58"/>
      <c r="O178" s="58"/>
      <c r="P178" s="58"/>
      <c r="Q178" s="58"/>
      <c r="R178" s="58"/>
    </row>
    <row r="179" spans="1:18" x14ac:dyDescent="0.2">
      <c r="A179" s="194"/>
      <c r="B179" s="151" t="s">
        <v>529</v>
      </c>
      <c r="C179" s="151" t="s">
        <v>234</v>
      </c>
      <c r="D179" s="166" t="s">
        <v>530</v>
      </c>
      <c r="E179" s="154" t="s">
        <v>60</v>
      </c>
      <c r="F179" s="2">
        <v>3</v>
      </c>
      <c r="G179" s="203">
        <v>9.18</v>
      </c>
      <c r="H179" s="197">
        <f t="shared" si="87"/>
        <v>27.54</v>
      </c>
      <c r="I179" s="2">
        <f t="shared" si="88"/>
        <v>11.48</v>
      </c>
      <c r="J179" s="198">
        <f t="shared" si="89"/>
        <v>34.44</v>
      </c>
      <c r="K179" s="28"/>
      <c r="L179" s="58"/>
      <c r="M179" s="143"/>
      <c r="N179" s="58"/>
      <c r="O179" s="58"/>
      <c r="P179" s="58"/>
      <c r="Q179" s="58"/>
      <c r="R179" s="58"/>
    </row>
    <row r="180" spans="1:18" x14ac:dyDescent="0.2">
      <c r="A180" s="194"/>
      <c r="B180" s="151" t="s">
        <v>531</v>
      </c>
      <c r="C180" s="151" t="s">
        <v>234</v>
      </c>
      <c r="D180" s="166" t="s">
        <v>532</v>
      </c>
      <c r="E180" s="154" t="s">
        <v>60</v>
      </c>
      <c r="F180" s="2">
        <v>10</v>
      </c>
      <c r="G180" s="203">
        <v>4.47</v>
      </c>
      <c r="H180" s="197">
        <f t="shared" si="87"/>
        <v>44.7</v>
      </c>
      <c r="I180" s="2">
        <f t="shared" si="88"/>
        <v>5.59</v>
      </c>
      <c r="J180" s="198">
        <f t="shared" si="89"/>
        <v>55.9</v>
      </c>
      <c r="K180" s="28"/>
      <c r="L180" s="58"/>
      <c r="M180" s="143"/>
      <c r="N180" s="58"/>
      <c r="O180" s="58"/>
      <c r="P180" s="58"/>
      <c r="Q180" s="58"/>
      <c r="R180" s="58"/>
    </row>
    <row r="181" spans="1:18" x14ac:dyDescent="0.2">
      <c r="A181" s="194"/>
      <c r="B181" s="151" t="s">
        <v>533</v>
      </c>
      <c r="C181" s="151" t="s">
        <v>234</v>
      </c>
      <c r="D181" s="166" t="s">
        <v>534</v>
      </c>
      <c r="E181" s="154" t="s">
        <v>60</v>
      </c>
      <c r="F181" s="2">
        <v>1</v>
      </c>
      <c r="G181" s="203">
        <v>43.56</v>
      </c>
      <c r="H181" s="197">
        <f t="shared" si="87"/>
        <v>43.56</v>
      </c>
      <c r="I181" s="2">
        <f t="shared" si="88"/>
        <v>54.45</v>
      </c>
      <c r="J181" s="198">
        <f t="shared" si="89"/>
        <v>54.45</v>
      </c>
      <c r="K181" s="28"/>
      <c r="L181" s="58"/>
      <c r="M181" s="143"/>
      <c r="N181" s="58"/>
      <c r="O181" s="58"/>
      <c r="P181" s="58"/>
      <c r="Q181" s="58"/>
      <c r="R181" s="58"/>
    </row>
    <row r="182" spans="1:18" x14ac:dyDescent="0.2">
      <c r="A182" s="194"/>
      <c r="B182" s="151" t="s">
        <v>535</v>
      </c>
      <c r="C182" s="151" t="s">
        <v>234</v>
      </c>
      <c r="D182" s="204" t="s">
        <v>536</v>
      </c>
      <c r="E182" s="154" t="s">
        <v>60</v>
      </c>
      <c r="F182" s="2">
        <v>2</v>
      </c>
      <c r="G182" s="203">
        <v>23.9</v>
      </c>
      <c r="H182" s="197">
        <f t="shared" si="87"/>
        <v>47.8</v>
      </c>
      <c r="I182" s="2">
        <f t="shared" si="88"/>
        <v>29.88</v>
      </c>
      <c r="J182" s="198">
        <f t="shared" si="89"/>
        <v>59.76</v>
      </c>
      <c r="K182" s="28"/>
      <c r="L182" s="58"/>
      <c r="M182" s="143"/>
      <c r="N182" s="58"/>
      <c r="O182" s="58"/>
      <c r="P182" s="58"/>
      <c r="Q182" s="58"/>
      <c r="R182" s="58"/>
    </row>
    <row r="183" spans="1:18" x14ac:dyDescent="0.2">
      <c r="A183" s="194"/>
      <c r="B183" s="151" t="s">
        <v>535</v>
      </c>
      <c r="C183" s="151" t="s">
        <v>234</v>
      </c>
      <c r="D183" s="204" t="s">
        <v>537</v>
      </c>
      <c r="E183" s="154" t="s">
        <v>60</v>
      </c>
      <c r="F183" s="2">
        <v>1</v>
      </c>
      <c r="G183" s="203">
        <v>23.9</v>
      </c>
      <c r="H183" s="197">
        <f t="shared" si="87"/>
        <v>23.9</v>
      </c>
      <c r="I183" s="2">
        <f t="shared" si="88"/>
        <v>29.88</v>
      </c>
      <c r="J183" s="198">
        <f t="shared" si="89"/>
        <v>29.88</v>
      </c>
      <c r="K183" s="28"/>
      <c r="L183" s="58"/>
      <c r="M183" s="143"/>
      <c r="N183" s="58"/>
      <c r="O183" s="58"/>
      <c r="P183" s="58"/>
      <c r="Q183" s="58"/>
      <c r="R183" s="58"/>
    </row>
    <row r="184" spans="1:18" x14ac:dyDescent="0.2">
      <c r="A184" s="194"/>
      <c r="B184" s="151" t="s">
        <v>538</v>
      </c>
      <c r="C184" s="151" t="s">
        <v>234</v>
      </c>
      <c r="D184" s="166" t="s">
        <v>539</v>
      </c>
      <c r="E184" s="154" t="s">
        <v>54</v>
      </c>
      <c r="F184" s="2">
        <v>3.7</v>
      </c>
      <c r="G184" s="203">
        <v>14.23</v>
      </c>
      <c r="H184" s="197">
        <f t="shared" si="87"/>
        <v>52.65</v>
      </c>
      <c r="I184" s="2">
        <f t="shared" si="88"/>
        <v>17.79</v>
      </c>
      <c r="J184" s="198">
        <f t="shared" si="89"/>
        <v>65.819999999999993</v>
      </c>
      <c r="K184" s="28"/>
      <c r="L184" s="58"/>
      <c r="M184" s="143"/>
      <c r="N184" s="58"/>
      <c r="O184" s="58"/>
      <c r="P184" s="58"/>
      <c r="Q184" s="58"/>
      <c r="R184" s="58"/>
    </row>
    <row r="185" spans="1:18" x14ac:dyDescent="0.2">
      <c r="A185" s="194"/>
      <c r="B185" s="151" t="s">
        <v>540</v>
      </c>
      <c r="C185" s="151" t="s">
        <v>234</v>
      </c>
      <c r="D185" s="166" t="s">
        <v>541</v>
      </c>
      <c r="E185" s="154" t="s">
        <v>60</v>
      </c>
      <c r="F185" s="2">
        <v>1</v>
      </c>
      <c r="G185" s="203">
        <v>178.35</v>
      </c>
      <c r="H185" s="197">
        <f t="shared" si="87"/>
        <v>178.35</v>
      </c>
      <c r="I185" s="2">
        <f t="shared" si="88"/>
        <v>222.94</v>
      </c>
      <c r="J185" s="198">
        <f t="shared" si="89"/>
        <v>222.94</v>
      </c>
      <c r="K185" s="28"/>
      <c r="L185" s="58"/>
      <c r="M185" s="143"/>
      <c r="N185" s="58"/>
      <c r="O185" s="58"/>
      <c r="P185" s="58"/>
      <c r="Q185" s="58"/>
      <c r="R185" s="58"/>
    </row>
    <row r="186" spans="1:18" ht="22.5" x14ac:dyDescent="0.2">
      <c r="A186" s="194"/>
      <c r="B186" s="151" t="s">
        <v>234</v>
      </c>
      <c r="C186" s="151" t="s">
        <v>542</v>
      </c>
      <c r="D186" s="205" t="s">
        <v>543</v>
      </c>
      <c r="E186" s="154" t="s">
        <v>60</v>
      </c>
      <c r="F186" s="2">
        <v>2</v>
      </c>
      <c r="G186" s="203">
        <v>33.18</v>
      </c>
      <c r="H186" s="197">
        <f t="shared" si="87"/>
        <v>66.36</v>
      </c>
      <c r="I186" s="2">
        <f t="shared" si="88"/>
        <v>41.48</v>
      </c>
      <c r="J186" s="198">
        <f t="shared" si="89"/>
        <v>82.96</v>
      </c>
      <c r="K186" s="28"/>
      <c r="L186" s="58"/>
      <c r="M186" s="143"/>
      <c r="N186" s="58"/>
      <c r="O186" s="58"/>
      <c r="P186" s="58"/>
      <c r="Q186" s="58"/>
      <c r="R186" s="58"/>
    </row>
    <row r="187" spans="1:18" ht="22.5" x14ac:dyDescent="0.2">
      <c r="A187" s="194"/>
      <c r="B187" s="151" t="s">
        <v>267</v>
      </c>
      <c r="C187" s="151" t="s">
        <v>234</v>
      </c>
      <c r="D187" s="166" t="s">
        <v>544</v>
      </c>
      <c r="E187" s="154" t="s">
        <v>508</v>
      </c>
      <c r="F187" s="2">
        <v>0.15</v>
      </c>
      <c r="G187" s="196">
        <v>134.94999999999999</v>
      </c>
      <c r="H187" s="197">
        <f>ROUND((+F187*G187),2)</f>
        <v>20.239999999999998</v>
      </c>
      <c r="I187" s="2">
        <f t="shared" si="88"/>
        <v>168.69</v>
      </c>
      <c r="J187" s="198">
        <f t="shared" si="89"/>
        <v>25.3</v>
      </c>
      <c r="K187" s="28"/>
      <c r="L187" s="58"/>
      <c r="M187" s="143"/>
      <c r="N187" s="58"/>
      <c r="O187" s="58"/>
      <c r="P187" s="58"/>
      <c r="Q187" s="58"/>
      <c r="R187" s="58"/>
    </row>
    <row r="188" spans="1:18" ht="22.5" x14ac:dyDescent="0.2">
      <c r="A188" s="194"/>
      <c r="B188" s="151" t="s">
        <v>514</v>
      </c>
      <c r="C188" s="151" t="s">
        <v>234</v>
      </c>
      <c r="D188" s="199" t="s">
        <v>515</v>
      </c>
      <c r="E188" s="154" t="s">
        <v>511</v>
      </c>
      <c r="F188" s="195">
        <v>0.37</v>
      </c>
      <c r="G188" s="196">
        <v>4.6900000000000004</v>
      </c>
      <c r="H188" s="197">
        <f>ROUND((+F188*G188),2)</f>
        <v>1.74</v>
      </c>
      <c r="I188" s="2">
        <f t="shared" si="88"/>
        <v>5.86</v>
      </c>
      <c r="J188" s="198">
        <f t="shared" si="89"/>
        <v>2.17</v>
      </c>
      <c r="K188" s="28"/>
      <c r="L188" s="58"/>
      <c r="M188" s="143"/>
      <c r="N188" s="58"/>
      <c r="O188" s="58"/>
      <c r="P188" s="58"/>
      <c r="Q188" s="58"/>
      <c r="R188" s="58"/>
    </row>
    <row r="189" spans="1:18" ht="33.75" x14ac:dyDescent="0.2">
      <c r="A189" s="194"/>
      <c r="B189" s="151" t="s">
        <v>71</v>
      </c>
      <c r="C189" s="151" t="s">
        <v>234</v>
      </c>
      <c r="D189" s="202" t="s">
        <v>545</v>
      </c>
      <c r="E189" s="154" t="s">
        <v>41</v>
      </c>
      <c r="F189" s="195">
        <v>0.37</v>
      </c>
      <c r="G189" s="196">
        <v>16.190000000000001</v>
      </c>
      <c r="H189" s="197">
        <f>ROUND((+F189*G189),2)</f>
        <v>5.99</v>
      </c>
      <c r="I189" s="2">
        <f t="shared" si="88"/>
        <v>20.239999999999998</v>
      </c>
      <c r="J189" s="198">
        <f t="shared" si="89"/>
        <v>7.49</v>
      </c>
      <c r="K189" s="28"/>
      <c r="L189" s="58"/>
      <c r="M189" s="143"/>
      <c r="N189" s="58"/>
      <c r="O189" s="58"/>
      <c r="P189" s="58"/>
      <c r="Q189" s="58"/>
      <c r="R189" s="58"/>
    </row>
    <row r="190" spans="1:18" x14ac:dyDescent="0.2">
      <c r="A190" s="161" t="s">
        <v>473</v>
      </c>
      <c r="B190" s="167"/>
      <c r="C190" s="236" t="s">
        <v>546</v>
      </c>
      <c r="D190" s="237"/>
      <c r="E190" s="237"/>
      <c r="F190" s="237"/>
      <c r="G190" s="237"/>
      <c r="H190" s="237"/>
      <c r="I190" s="237"/>
      <c r="J190" s="238"/>
      <c r="K190" s="28"/>
      <c r="L190" s="58"/>
      <c r="M190" s="143"/>
      <c r="N190" s="58"/>
      <c r="O190" s="58"/>
      <c r="P190" s="58"/>
      <c r="Q190" s="58"/>
      <c r="R190" s="58"/>
    </row>
    <row r="191" spans="1:18" x14ac:dyDescent="0.2">
      <c r="A191" s="206"/>
      <c r="B191" s="151" t="s">
        <v>234</v>
      </c>
      <c r="C191" s="201" t="s">
        <v>547</v>
      </c>
      <c r="D191" s="200" t="s">
        <v>548</v>
      </c>
      <c r="E191" s="175" t="s">
        <v>60</v>
      </c>
      <c r="F191" s="207">
        <v>3</v>
      </c>
      <c r="G191" s="208">
        <v>39.270000000000003</v>
      </c>
      <c r="H191" s="197">
        <f t="shared" ref="H191:H192" si="90">ROUND((+F191*G191),2)</f>
        <v>117.81</v>
      </c>
      <c r="I191" s="2">
        <f t="shared" ref="I191:I192" si="91">ROUND((G191*$J$2)+G191,2)</f>
        <v>49.09</v>
      </c>
      <c r="J191" s="198">
        <f t="shared" ref="J191:J192" si="92">ROUND((F191*I191),2)</f>
        <v>147.27000000000001</v>
      </c>
      <c r="K191" s="28"/>
      <c r="L191" s="58"/>
      <c r="M191" s="143"/>
      <c r="N191" s="58"/>
      <c r="O191" s="58"/>
      <c r="P191" s="58"/>
      <c r="Q191" s="58"/>
      <c r="R191" s="58"/>
    </row>
    <row r="192" spans="1:18" ht="22.5" x14ac:dyDescent="0.2">
      <c r="A192" s="206"/>
      <c r="B192" s="151" t="s">
        <v>234</v>
      </c>
      <c r="C192" s="201" t="s">
        <v>542</v>
      </c>
      <c r="D192" s="200" t="s">
        <v>549</v>
      </c>
      <c r="E192" s="175" t="s">
        <v>60</v>
      </c>
      <c r="F192" s="207">
        <v>2</v>
      </c>
      <c r="G192" s="208">
        <v>33.18</v>
      </c>
      <c r="H192" s="197">
        <f t="shared" si="90"/>
        <v>66.36</v>
      </c>
      <c r="I192" s="2">
        <f t="shared" si="91"/>
        <v>41.48</v>
      </c>
      <c r="J192" s="198">
        <f t="shared" si="92"/>
        <v>82.96</v>
      </c>
      <c r="K192" s="28"/>
      <c r="L192" s="58"/>
      <c r="M192" s="143"/>
      <c r="N192" s="58"/>
      <c r="O192" s="58"/>
      <c r="P192" s="58"/>
      <c r="Q192" s="58"/>
      <c r="R192" s="58"/>
    </row>
    <row r="193" spans="1:18" x14ac:dyDescent="0.2">
      <c r="A193" s="161" t="s">
        <v>474</v>
      </c>
      <c r="B193" s="167"/>
      <c r="C193" s="236" t="s">
        <v>224</v>
      </c>
      <c r="D193" s="237"/>
      <c r="E193" s="237"/>
      <c r="F193" s="237"/>
      <c r="G193" s="237"/>
      <c r="H193" s="237"/>
      <c r="I193" s="237"/>
      <c r="J193" s="238"/>
      <c r="K193" s="28"/>
      <c r="L193" s="58"/>
      <c r="M193" s="143"/>
      <c r="N193" s="58"/>
      <c r="O193" s="58"/>
      <c r="P193" s="58"/>
      <c r="Q193" s="58"/>
      <c r="R193" s="58"/>
    </row>
    <row r="194" spans="1:18" ht="45" x14ac:dyDescent="0.2">
      <c r="A194" s="174"/>
      <c r="B194" s="151" t="s">
        <v>291</v>
      </c>
      <c r="C194" s="168" t="s">
        <v>234</v>
      </c>
      <c r="D194" s="169" t="s">
        <v>352</v>
      </c>
      <c r="E194" s="170" t="s">
        <v>41</v>
      </c>
      <c r="F194" s="171">
        <v>25</v>
      </c>
      <c r="G194" s="44">
        <v>188.05</v>
      </c>
      <c r="H194" s="30">
        <f t="shared" si="81"/>
        <v>4701.25</v>
      </c>
      <c r="I194" s="29">
        <f t="shared" si="82"/>
        <v>235.06</v>
      </c>
      <c r="J194" s="31">
        <f t="shared" si="83"/>
        <v>5876.5</v>
      </c>
      <c r="K194" s="59"/>
      <c r="L194" s="58"/>
      <c r="M194" s="143"/>
      <c r="N194" s="58"/>
      <c r="O194" s="58"/>
      <c r="P194" s="58"/>
      <c r="Q194" s="58"/>
      <c r="R194" s="58"/>
    </row>
    <row r="195" spans="1:18" ht="12" x14ac:dyDescent="0.2">
      <c r="A195" s="233" t="s">
        <v>76</v>
      </c>
      <c r="B195" s="234"/>
      <c r="C195" s="234"/>
      <c r="D195" s="234"/>
      <c r="E195" s="234"/>
      <c r="F195" s="234"/>
      <c r="G195" s="234"/>
      <c r="H195" s="234"/>
      <c r="I195" s="235"/>
      <c r="J195" s="177">
        <f>SUM(J153:J158,J160:J162,J164:J194)</f>
        <v>43656.399999999994</v>
      </c>
      <c r="K195" s="59"/>
      <c r="L195" s="58"/>
      <c r="M195" s="143"/>
      <c r="N195" s="58"/>
      <c r="O195" s="58"/>
      <c r="P195" s="58"/>
      <c r="Q195" s="58"/>
      <c r="R195" s="58"/>
    </row>
    <row r="196" spans="1:18" ht="12.75" x14ac:dyDescent="0.2">
      <c r="A196" s="193">
        <v>10</v>
      </c>
      <c r="B196" s="178"/>
      <c r="C196" s="244" t="s">
        <v>126</v>
      </c>
      <c r="D196" s="245"/>
      <c r="E196" s="245"/>
      <c r="F196" s="245"/>
      <c r="G196" s="245"/>
      <c r="H196" s="245"/>
      <c r="I196" s="245"/>
      <c r="J196" s="246"/>
    </row>
    <row r="197" spans="1:18" x14ac:dyDescent="0.2">
      <c r="A197" s="161" t="s">
        <v>127</v>
      </c>
      <c r="B197" s="167"/>
      <c r="C197" s="236" t="s">
        <v>129</v>
      </c>
      <c r="D197" s="237"/>
      <c r="E197" s="237"/>
      <c r="F197" s="237"/>
      <c r="G197" s="237"/>
      <c r="H197" s="237"/>
      <c r="I197" s="237"/>
      <c r="J197" s="238"/>
    </row>
    <row r="198" spans="1:18" s="28" customFormat="1" x14ac:dyDescent="0.2">
      <c r="A198" s="186"/>
      <c r="B198" s="168" t="s">
        <v>234</v>
      </c>
      <c r="C198" s="168" t="s">
        <v>505</v>
      </c>
      <c r="D198" s="169" t="s">
        <v>128</v>
      </c>
      <c r="E198" s="170" t="s">
        <v>60</v>
      </c>
      <c r="F198" s="171">
        <v>4</v>
      </c>
      <c r="G198" s="44">
        <v>140</v>
      </c>
      <c r="H198" s="30">
        <f t="shared" si="73"/>
        <v>560</v>
      </c>
      <c r="I198" s="29">
        <f t="shared" si="74"/>
        <v>175</v>
      </c>
      <c r="J198" s="31">
        <f t="shared" ref="J198" si="93">ROUND((F198*I198),2)</f>
        <v>700</v>
      </c>
      <c r="M198" s="141"/>
    </row>
    <row r="199" spans="1:18" ht="12.75" x14ac:dyDescent="0.2">
      <c r="A199" s="193">
        <v>11</v>
      </c>
      <c r="B199" s="178"/>
      <c r="C199" s="244" t="s">
        <v>140</v>
      </c>
      <c r="D199" s="245"/>
      <c r="E199" s="245"/>
      <c r="F199" s="245"/>
      <c r="G199" s="245"/>
      <c r="H199" s="245"/>
      <c r="I199" s="245"/>
      <c r="J199" s="246"/>
    </row>
    <row r="200" spans="1:18" x14ac:dyDescent="0.2">
      <c r="A200" s="161" t="s">
        <v>139</v>
      </c>
      <c r="B200" s="167"/>
      <c r="C200" s="236" t="s">
        <v>141</v>
      </c>
      <c r="D200" s="237"/>
      <c r="E200" s="237"/>
      <c r="F200" s="237"/>
      <c r="G200" s="237"/>
      <c r="H200" s="237"/>
      <c r="I200" s="237"/>
      <c r="J200" s="238"/>
    </row>
    <row r="201" spans="1:18" s="28" customFormat="1" ht="22.5" x14ac:dyDescent="0.2">
      <c r="A201" s="186"/>
      <c r="B201" s="168" t="s">
        <v>234</v>
      </c>
      <c r="C201" s="168" t="s">
        <v>495</v>
      </c>
      <c r="D201" s="169" t="s">
        <v>496</v>
      </c>
      <c r="E201" s="170" t="s">
        <v>41</v>
      </c>
      <c r="F201" s="171">
        <v>4.7300000000000004</v>
      </c>
      <c r="G201" s="44">
        <v>344.95</v>
      </c>
      <c r="H201" s="30">
        <f t="shared" ref="H201:H213" si="94">ROUND((+F201*G201),2)</f>
        <v>1631.61</v>
      </c>
      <c r="I201" s="29">
        <f t="shared" ref="I201:I213" si="95">ROUND((G201*$J$2)+G201,2)</f>
        <v>431.19</v>
      </c>
      <c r="J201" s="31">
        <f t="shared" ref="J201:J213" si="96">ROUND((F201*I201),2)</f>
        <v>2039.53</v>
      </c>
      <c r="M201" s="141"/>
    </row>
    <row r="202" spans="1:18" ht="12.75" x14ac:dyDescent="0.2">
      <c r="A202" s="193">
        <v>12</v>
      </c>
      <c r="B202" s="178"/>
      <c r="C202" s="244" t="s">
        <v>221</v>
      </c>
      <c r="D202" s="245"/>
      <c r="E202" s="245"/>
      <c r="F202" s="245"/>
      <c r="G202" s="245"/>
      <c r="H202" s="245"/>
      <c r="I202" s="245"/>
      <c r="J202" s="246"/>
    </row>
    <row r="203" spans="1:18" x14ac:dyDescent="0.2">
      <c r="A203" s="161" t="s">
        <v>220</v>
      </c>
      <c r="B203" s="167"/>
      <c r="C203" s="236" t="s">
        <v>222</v>
      </c>
      <c r="D203" s="237"/>
      <c r="E203" s="237"/>
      <c r="F203" s="237"/>
      <c r="G203" s="237"/>
      <c r="H203" s="237"/>
      <c r="I203" s="237"/>
      <c r="J203" s="238"/>
    </row>
    <row r="204" spans="1:18" s="28" customFormat="1" x14ac:dyDescent="0.2">
      <c r="A204" s="186"/>
      <c r="B204" s="168" t="s">
        <v>310</v>
      </c>
      <c r="C204" s="168" t="s">
        <v>234</v>
      </c>
      <c r="D204" s="169" t="s">
        <v>311</v>
      </c>
      <c r="E204" s="170" t="s">
        <v>312</v>
      </c>
      <c r="F204" s="171">
        <v>110</v>
      </c>
      <c r="G204" s="44">
        <v>15</v>
      </c>
      <c r="H204" s="30">
        <f t="shared" si="94"/>
        <v>1650</v>
      </c>
      <c r="I204" s="29">
        <f t="shared" si="95"/>
        <v>18.75</v>
      </c>
      <c r="J204" s="31">
        <f t="shared" si="96"/>
        <v>2062.5</v>
      </c>
      <c r="M204" s="141"/>
    </row>
    <row r="205" spans="1:18" ht="12" x14ac:dyDescent="0.2">
      <c r="A205" s="233" t="s">
        <v>76</v>
      </c>
      <c r="B205" s="234"/>
      <c r="C205" s="234"/>
      <c r="D205" s="234"/>
      <c r="E205" s="234"/>
      <c r="F205" s="234"/>
      <c r="G205" s="234"/>
      <c r="H205" s="234"/>
      <c r="I205" s="235"/>
      <c r="J205" s="177">
        <f>SUM(J198,J201,J204)</f>
        <v>4802.03</v>
      </c>
    </row>
    <row r="206" spans="1:18" ht="12.75" x14ac:dyDescent="0.2">
      <c r="A206" s="193">
        <v>13</v>
      </c>
      <c r="B206" s="178"/>
      <c r="C206" s="244" t="s">
        <v>330</v>
      </c>
      <c r="D206" s="245"/>
      <c r="E206" s="245"/>
      <c r="F206" s="245"/>
      <c r="G206" s="245"/>
      <c r="H206" s="245"/>
      <c r="I206" s="245"/>
      <c r="J206" s="246"/>
    </row>
    <row r="207" spans="1:18" ht="22.5" x14ac:dyDescent="0.2">
      <c r="A207" s="174"/>
      <c r="B207" s="168" t="s">
        <v>317</v>
      </c>
      <c r="C207" s="168" t="s">
        <v>234</v>
      </c>
      <c r="D207" s="169" t="s">
        <v>502</v>
      </c>
      <c r="E207" s="170" t="s">
        <v>318</v>
      </c>
      <c r="F207" s="171">
        <f>SUM(120*2)</f>
        <v>240</v>
      </c>
      <c r="G207" s="171">
        <v>168.97</v>
      </c>
      <c r="H207" s="30">
        <f t="shared" ref="H207:H210" si="97">ROUND((+F207*G207),2)</f>
        <v>40552.800000000003</v>
      </c>
      <c r="I207" s="29">
        <f t="shared" ref="I207:I210" si="98">ROUND((G207*$J$2)+G207,2)</f>
        <v>211.21</v>
      </c>
      <c r="J207" s="31">
        <f t="shared" ref="J207:J210" si="99">ROUND((F207*I207),2)</f>
        <v>50690.400000000001</v>
      </c>
    </row>
    <row r="208" spans="1:18" x14ac:dyDescent="0.2">
      <c r="A208" s="174"/>
      <c r="B208" s="168" t="s">
        <v>336</v>
      </c>
      <c r="C208" s="168" t="s">
        <v>234</v>
      </c>
      <c r="D208" s="169" t="s">
        <v>313</v>
      </c>
      <c r="E208" s="170" t="s">
        <v>318</v>
      </c>
      <c r="F208" s="171">
        <f>SUM(120*8)</f>
        <v>960</v>
      </c>
      <c r="G208" s="171">
        <v>45.94</v>
      </c>
      <c r="H208" s="30">
        <f t="shared" si="97"/>
        <v>44102.400000000001</v>
      </c>
      <c r="I208" s="29">
        <f t="shared" si="98"/>
        <v>57.43</v>
      </c>
      <c r="J208" s="31">
        <f t="shared" si="99"/>
        <v>55132.800000000003</v>
      </c>
    </row>
    <row r="209" spans="1:10" x14ac:dyDescent="0.2">
      <c r="A209" s="174"/>
      <c r="B209" s="168" t="s">
        <v>336</v>
      </c>
      <c r="C209" s="168" t="s">
        <v>234</v>
      </c>
      <c r="D209" s="169" t="s">
        <v>314</v>
      </c>
      <c r="E209" s="170" t="s">
        <v>318</v>
      </c>
      <c r="F209" s="171">
        <f>SUM(120*8)*4</f>
        <v>3840</v>
      </c>
      <c r="G209" s="171">
        <v>22.97</v>
      </c>
      <c r="H209" s="30">
        <f t="shared" si="97"/>
        <v>88204.800000000003</v>
      </c>
      <c r="I209" s="29">
        <f t="shared" si="98"/>
        <v>28.71</v>
      </c>
      <c r="J209" s="31">
        <f t="shared" si="99"/>
        <v>110246.39999999999</v>
      </c>
    </row>
    <row r="210" spans="1:10" x14ac:dyDescent="0.2">
      <c r="A210" s="174"/>
      <c r="B210" s="168" t="s">
        <v>338</v>
      </c>
      <c r="C210" s="168" t="s">
        <v>234</v>
      </c>
      <c r="D210" s="169" t="s">
        <v>315</v>
      </c>
      <c r="E210" s="170" t="s">
        <v>318</v>
      </c>
      <c r="F210" s="171">
        <f>SUM(120*8)*4</f>
        <v>3840</v>
      </c>
      <c r="G210" s="171">
        <v>16.55</v>
      </c>
      <c r="H210" s="30">
        <f t="shared" si="97"/>
        <v>63552</v>
      </c>
      <c r="I210" s="29">
        <f t="shared" si="98"/>
        <v>20.69</v>
      </c>
      <c r="J210" s="31">
        <f t="shared" si="99"/>
        <v>79449.600000000006</v>
      </c>
    </row>
    <row r="211" spans="1:10" x14ac:dyDescent="0.2">
      <c r="A211" s="174"/>
      <c r="B211" s="168" t="s">
        <v>337</v>
      </c>
      <c r="C211" s="168" t="s">
        <v>234</v>
      </c>
      <c r="D211" s="169" t="s">
        <v>316</v>
      </c>
      <c r="E211" s="170" t="s">
        <v>318</v>
      </c>
      <c r="F211" s="171">
        <f>SUM(45*8)</f>
        <v>360</v>
      </c>
      <c r="G211" s="171">
        <v>24.03</v>
      </c>
      <c r="H211" s="30">
        <f t="shared" ref="H211:H212" si="100">ROUND((+F211*G211),2)</f>
        <v>8650.7999999999993</v>
      </c>
      <c r="I211" s="29">
        <f t="shared" ref="I211:I212" si="101">ROUND((G211*$J$2)+G211,2)</f>
        <v>30.04</v>
      </c>
      <c r="J211" s="31">
        <f t="shared" ref="J211:J212" si="102">ROUND((F211*I211),2)</f>
        <v>10814.4</v>
      </c>
    </row>
    <row r="212" spans="1:10" x14ac:dyDescent="0.2">
      <c r="A212" s="174"/>
      <c r="B212" s="168" t="s">
        <v>339</v>
      </c>
      <c r="C212" s="168" t="s">
        <v>234</v>
      </c>
      <c r="D212" s="169" t="s">
        <v>340</v>
      </c>
      <c r="E212" s="170" t="s">
        <v>318</v>
      </c>
      <c r="F212" s="171">
        <f>SUM(45*8)*2</f>
        <v>720</v>
      </c>
      <c r="G212" s="171">
        <v>18.98</v>
      </c>
      <c r="H212" s="30">
        <f t="shared" si="100"/>
        <v>13665.6</v>
      </c>
      <c r="I212" s="29">
        <f t="shared" si="101"/>
        <v>23.73</v>
      </c>
      <c r="J212" s="31">
        <f t="shared" si="102"/>
        <v>17085.599999999999</v>
      </c>
    </row>
    <row r="213" spans="1:10" x14ac:dyDescent="0.2">
      <c r="A213" s="174"/>
      <c r="B213" s="168" t="s">
        <v>335</v>
      </c>
      <c r="C213" s="168" t="s">
        <v>234</v>
      </c>
      <c r="D213" s="169" t="s">
        <v>334</v>
      </c>
      <c r="E213" s="170" t="s">
        <v>318</v>
      </c>
      <c r="F213" s="171">
        <f>SUM(45*8)</f>
        <v>360</v>
      </c>
      <c r="G213" s="44">
        <v>23.23</v>
      </c>
      <c r="H213" s="30">
        <f t="shared" si="94"/>
        <v>8362.7999999999993</v>
      </c>
      <c r="I213" s="29">
        <f t="shared" si="95"/>
        <v>29.04</v>
      </c>
      <c r="J213" s="31">
        <f t="shared" si="96"/>
        <v>10454.4</v>
      </c>
    </row>
    <row r="214" spans="1:10" ht="15" customHeight="1" x14ac:dyDescent="0.2">
      <c r="A214" s="233" t="s">
        <v>76</v>
      </c>
      <c r="B214" s="234"/>
      <c r="C214" s="234"/>
      <c r="D214" s="234"/>
      <c r="E214" s="234"/>
      <c r="F214" s="234"/>
      <c r="G214" s="234"/>
      <c r="H214" s="234"/>
      <c r="I214" s="235"/>
      <c r="J214" s="177">
        <f>SUM(J207:J213)</f>
        <v>333873.60000000003</v>
      </c>
    </row>
    <row r="215" spans="1:10" ht="15" customHeight="1" x14ac:dyDescent="0.2">
      <c r="D215" s="43"/>
      <c r="H215" s="39"/>
      <c r="I215" s="38"/>
      <c r="J215" s="5"/>
    </row>
    <row r="216" spans="1:10" ht="11.25" customHeight="1" x14ac:dyDescent="0.2">
      <c r="A216" s="282" t="s">
        <v>555</v>
      </c>
      <c r="B216" s="282"/>
      <c r="C216" s="282"/>
      <c r="D216" s="282"/>
      <c r="E216" s="282"/>
      <c r="F216" s="282"/>
      <c r="G216" s="282"/>
      <c r="H216" s="282"/>
      <c r="I216" s="282"/>
      <c r="J216" s="282"/>
    </row>
    <row r="217" spans="1:10" ht="11.25" customHeight="1" x14ac:dyDescent="0.2">
      <c r="A217" s="282"/>
      <c r="B217" s="282"/>
      <c r="C217" s="282"/>
      <c r="D217" s="282"/>
      <c r="E217" s="282"/>
      <c r="F217" s="282"/>
      <c r="G217" s="282"/>
      <c r="H217" s="282"/>
      <c r="I217" s="282"/>
      <c r="J217" s="282"/>
    </row>
    <row r="218" spans="1:10" ht="11.25" customHeight="1" x14ac:dyDescent="0.2">
      <c r="A218" s="282"/>
      <c r="B218" s="282"/>
      <c r="C218" s="282"/>
      <c r="D218" s="282"/>
      <c r="E218" s="282"/>
      <c r="F218" s="282"/>
      <c r="G218" s="282"/>
      <c r="H218" s="282"/>
      <c r="I218" s="282"/>
      <c r="J218" s="282"/>
    </row>
    <row r="219" spans="1:10" ht="54" customHeight="1" x14ac:dyDescent="0.2">
      <c r="A219" s="282"/>
      <c r="B219" s="282"/>
      <c r="C219" s="282"/>
      <c r="D219" s="282"/>
      <c r="E219" s="282"/>
      <c r="F219" s="282"/>
      <c r="G219" s="282"/>
      <c r="H219" s="282"/>
      <c r="I219" s="282"/>
      <c r="J219" s="282"/>
    </row>
    <row r="220" spans="1:10" ht="14.25" x14ac:dyDescent="0.2">
      <c r="D220" s="43"/>
      <c r="E220" s="3"/>
      <c r="F220" s="4"/>
      <c r="I220" s="42"/>
    </row>
    <row r="221" spans="1:10" x14ac:dyDescent="0.2">
      <c r="E221" s="3"/>
      <c r="F221" s="4"/>
      <c r="I221" s="42"/>
    </row>
    <row r="222" spans="1:10" ht="15" x14ac:dyDescent="0.2">
      <c r="D222" s="25"/>
      <c r="E222" s="3"/>
      <c r="F222" s="4"/>
      <c r="I222" s="42"/>
    </row>
    <row r="223" spans="1:10" ht="14.25" x14ac:dyDescent="0.2">
      <c r="D223" s="26"/>
      <c r="E223" s="3"/>
      <c r="F223" s="4"/>
      <c r="I223" s="42"/>
    </row>
    <row r="224" spans="1:10" x14ac:dyDescent="0.2">
      <c r="D224" s="27"/>
      <c r="E224" s="3"/>
      <c r="F224" s="4"/>
      <c r="I224" s="42"/>
    </row>
    <row r="225" spans="2:15" x14ac:dyDescent="0.2">
      <c r="D225" s="27"/>
      <c r="E225" s="3"/>
      <c r="F225" s="4"/>
      <c r="I225" s="42"/>
    </row>
    <row r="226" spans="2:15" ht="14.25" x14ac:dyDescent="0.2">
      <c r="B226" s="66"/>
      <c r="C226" s="66"/>
      <c r="D226" s="67"/>
      <c r="E226" s="68"/>
      <c r="F226" s="68"/>
      <c r="G226" s="69"/>
      <c r="H226" s="39"/>
    </row>
    <row r="227" spans="2:15" ht="18" x14ac:dyDescent="0.2">
      <c r="B227" s="66"/>
      <c r="C227" s="66"/>
      <c r="D227" s="67"/>
      <c r="E227" s="68"/>
      <c r="F227" s="68"/>
      <c r="G227" s="70"/>
      <c r="H227" s="39"/>
      <c r="J227" s="105"/>
      <c r="K227" s="105"/>
      <c r="L227" s="105"/>
      <c r="M227" s="144"/>
      <c r="N227" s="105"/>
      <c r="O227" s="105"/>
    </row>
    <row r="228" spans="2:15" ht="15.75" x14ac:dyDescent="0.2">
      <c r="B228" s="66"/>
      <c r="C228" s="66"/>
      <c r="D228" s="67"/>
      <c r="E228" s="68"/>
      <c r="F228" s="68"/>
      <c r="G228" s="70"/>
      <c r="H228" s="39"/>
      <c r="J228" s="106"/>
      <c r="K228" s="106"/>
      <c r="L228" s="106"/>
      <c r="M228" s="145"/>
      <c r="N228" s="106"/>
      <c r="O228" s="106"/>
    </row>
    <row r="229" spans="2:15" ht="15" x14ac:dyDescent="0.2">
      <c r="B229" s="66"/>
      <c r="C229" s="66"/>
      <c r="D229" s="66"/>
      <c r="E229" s="66"/>
      <c r="F229" s="71"/>
      <c r="G229" s="72"/>
      <c r="H229" s="39"/>
      <c r="J229" s="104"/>
      <c r="K229" s="104"/>
      <c r="L229" s="104"/>
      <c r="M229" s="146"/>
      <c r="N229" s="104"/>
      <c r="O229" s="104"/>
    </row>
    <row r="230" spans="2:15" ht="15" x14ac:dyDescent="0.2">
      <c r="B230" s="66"/>
      <c r="C230" s="66"/>
      <c r="D230" s="73"/>
      <c r="E230" s="74"/>
      <c r="F230" s="74"/>
      <c r="G230" s="72"/>
      <c r="H230" s="39"/>
      <c r="J230" s="103"/>
      <c r="K230" s="103"/>
      <c r="L230" s="103"/>
      <c r="M230" s="147"/>
      <c r="N230" s="103"/>
      <c r="O230" s="99"/>
    </row>
    <row r="231" spans="2:15" ht="15" x14ac:dyDescent="0.2">
      <c r="B231" s="66"/>
      <c r="C231" s="66"/>
      <c r="D231" s="66"/>
      <c r="E231" s="66"/>
      <c r="F231" s="71"/>
      <c r="G231" s="72"/>
      <c r="H231" s="39"/>
      <c r="J231" s="103"/>
      <c r="K231" s="103"/>
      <c r="L231" s="103"/>
      <c r="M231" s="147"/>
      <c r="N231" s="103"/>
      <c r="O231" s="100"/>
    </row>
    <row r="232" spans="2:15" ht="35.25" customHeight="1" x14ac:dyDescent="0.2">
      <c r="B232" s="66"/>
      <c r="C232" s="66"/>
      <c r="D232" s="240"/>
      <c r="E232" s="240"/>
      <c r="F232" s="240"/>
      <c r="G232" s="240"/>
      <c r="H232" s="240"/>
      <c r="J232" s="103"/>
      <c r="K232" s="103"/>
      <c r="L232" s="103"/>
      <c r="M232" s="147"/>
      <c r="N232" s="103"/>
      <c r="O232" s="100"/>
    </row>
    <row r="233" spans="2:15" ht="41.25" customHeight="1" x14ac:dyDescent="0.2">
      <c r="B233" s="66"/>
      <c r="C233" s="66"/>
      <c r="D233" s="75"/>
      <c r="E233" s="76"/>
      <c r="F233" s="77"/>
      <c r="G233" s="78"/>
      <c r="H233" s="39"/>
      <c r="J233" s="103"/>
      <c r="K233" s="103"/>
      <c r="L233" s="103"/>
      <c r="M233" s="147"/>
      <c r="N233" s="103"/>
      <c r="O233" s="101"/>
    </row>
    <row r="234" spans="2:15" ht="27" customHeight="1" x14ac:dyDescent="0.2">
      <c r="B234" s="66"/>
      <c r="C234" s="66"/>
      <c r="D234" s="75"/>
      <c r="E234" s="76"/>
      <c r="F234" s="79"/>
      <c r="G234" s="80"/>
      <c r="H234" s="39"/>
      <c r="J234" s="103"/>
      <c r="K234" s="103"/>
      <c r="L234" s="103"/>
      <c r="M234" s="147"/>
      <c r="N234" s="103"/>
      <c r="O234" s="101"/>
    </row>
    <row r="235" spans="2:15" ht="27" customHeight="1" x14ac:dyDescent="0.2">
      <c r="B235" s="66"/>
      <c r="C235" s="66"/>
      <c r="D235" s="75"/>
      <c r="E235" s="76"/>
      <c r="F235" s="79"/>
      <c r="G235" s="78"/>
      <c r="H235" s="39"/>
      <c r="J235" s="103"/>
      <c r="K235" s="103"/>
      <c r="L235" s="103"/>
      <c r="M235" s="147"/>
      <c r="N235" s="103"/>
      <c r="O235" s="102"/>
    </row>
    <row r="236" spans="2:15" ht="27" customHeight="1" x14ac:dyDescent="0.2">
      <c r="B236" s="66"/>
      <c r="C236" s="66"/>
      <c r="D236" s="75"/>
      <c r="E236" s="76"/>
      <c r="F236" s="77"/>
      <c r="G236" s="78"/>
      <c r="H236" s="39"/>
      <c r="J236" s="103"/>
      <c r="K236" s="103"/>
      <c r="L236" s="103"/>
      <c r="M236" s="147"/>
      <c r="N236" s="103"/>
      <c r="O236" s="102"/>
    </row>
    <row r="237" spans="2:15" ht="30" customHeight="1" x14ac:dyDescent="0.2">
      <c r="B237" s="66"/>
      <c r="C237" s="66"/>
      <c r="D237" s="75"/>
      <c r="E237" s="76"/>
      <c r="F237" s="79"/>
      <c r="G237" s="80"/>
      <c r="H237" s="39"/>
      <c r="J237" s="103"/>
      <c r="K237" s="103"/>
      <c r="L237" s="103"/>
      <c r="M237" s="147"/>
      <c r="N237" s="103"/>
      <c r="O237" s="102"/>
    </row>
    <row r="238" spans="2:15" x14ac:dyDescent="0.2">
      <c r="B238" s="66"/>
      <c r="C238" s="66"/>
      <c r="D238" s="66"/>
      <c r="E238" s="66"/>
      <c r="F238" s="71"/>
      <c r="G238" s="72"/>
      <c r="H238" s="39"/>
    </row>
    <row r="239" spans="2:15" ht="38.25" customHeight="1" x14ac:dyDescent="0.2">
      <c r="B239" s="66"/>
      <c r="C239" s="66"/>
      <c r="D239" s="240"/>
      <c r="E239" s="240"/>
      <c r="F239" s="240"/>
      <c r="G239" s="240"/>
      <c r="H239" s="240"/>
    </row>
    <row r="240" spans="2:15" ht="14.25" x14ac:dyDescent="0.2">
      <c r="B240" s="66"/>
      <c r="C240" s="66"/>
      <c r="D240" s="75"/>
      <c r="E240" s="76"/>
      <c r="F240" s="77"/>
      <c r="G240" s="80"/>
      <c r="H240" s="81"/>
    </row>
    <row r="241" spans="2:8" ht="14.25" x14ac:dyDescent="0.2">
      <c r="B241" s="66"/>
      <c r="C241" s="66"/>
      <c r="D241" s="75"/>
      <c r="E241" s="76"/>
      <c r="F241" s="82"/>
      <c r="G241" s="78"/>
      <c r="H241" s="81"/>
    </row>
    <row r="242" spans="2:8" x14ac:dyDescent="0.2">
      <c r="B242" s="66"/>
      <c r="C242" s="66"/>
      <c r="D242" s="66"/>
      <c r="E242" s="66"/>
      <c r="F242" s="71"/>
      <c r="G242" s="72"/>
      <c r="H242" s="39"/>
    </row>
    <row r="243" spans="2:8" x14ac:dyDescent="0.2">
      <c r="B243" s="66"/>
      <c r="C243" s="66"/>
      <c r="D243" s="66"/>
      <c r="E243" s="66"/>
      <c r="F243" s="71"/>
      <c r="G243" s="72"/>
      <c r="H243" s="39"/>
    </row>
    <row r="244" spans="2:8" x14ac:dyDescent="0.2">
      <c r="B244" s="66"/>
      <c r="C244" s="66"/>
      <c r="D244" s="66"/>
      <c r="E244" s="66"/>
      <c r="F244" s="71"/>
      <c r="G244" s="72"/>
      <c r="H244" s="39"/>
    </row>
    <row r="245" spans="2:8" ht="15" x14ac:dyDescent="0.2">
      <c r="B245" s="66"/>
      <c r="C245" s="83"/>
      <c r="D245" s="84"/>
      <c r="E245" s="83"/>
      <c r="F245" s="85"/>
      <c r="G245" s="70"/>
      <c r="H245" s="39"/>
    </row>
    <row r="246" spans="2:8" x14ac:dyDescent="0.2">
      <c r="B246" s="66"/>
      <c r="C246" s="66"/>
      <c r="D246" s="66"/>
      <c r="E246" s="66"/>
      <c r="F246" s="71"/>
      <c r="G246" s="72"/>
      <c r="H246" s="39"/>
    </row>
    <row r="247" spans="2:8" x14ac:dyDescent="0.2">
      <c r="B247" s="66"/>
      <c r="C247" s="66"/>
      <c r="D247" s="66"/>
      <c r="E247" s="66"/>
      <c r="F247" s="71"/>
      <c r="G247" s="72"/>
      <c r="H247" s="39"/>
    </row>
    <row r="248" spans="2:8" ht="73.5" customHeight="1" x14ac:dyDescent="0.2">
      <c r="B248" s="66"/>
      <c r="C248" s="66"/>
      <c r="D248" s="86"/>
      <c r="E248" s="87"/>
      <c r="F248" s="88"/>
      <c r="G248" s="89"/>
      <c r="H248" s="90"/>
    </row>
    <row r="249" spans="2:8" x14ac:dyDescent="0.2">
      <c r="B249" s="66"/>
      <c r="C249" s="66"/>
      <c r="D249" s="86"/>
      <c r="E249" s="87"/>
      <c r="F249" s="88"/>
      <c r="G249" s="89"/>
      <c r="H249" s="90"/>
    </row>
    <row r="250" spans="2:8" x14ac:dyDescent="0.2">
      <c r="B250" s="66"/>
      <c r="C250" s="66"/>
      <c r="D250" s="66"/>
      <c r="E250" s="66"/>
      <c r="F250" s="71"/>
      <c r="G250" s="72"/>
      <c r="H250" s="39"/>
    </row>
    <row r="251" spans="2:8" x14ac:dyDescent="0.2">
      <c r="B251" s="66"/>
      <c r="C251" s="66"/>
      <c r="D251" s="86"/>
      <c r="E251" s="87"/>
      <c r="F251" s="88"/>
      <c r="G251" s="91"/>
      <c r="H251" s="39"/>
    </row>
    <row r="252" spans="2:8" x14ac:dyDescent="0.2">
      <c r="B252" s="66"/>
      <c r="C252" s="66"/>
      <c r="D252" s="86"/>
      <c r="E252" s="87"/>
      <c r="F252" s="88"/>
      <c r="G252" s="91"/>
      <c r="H252" s="39"/>
    </row>
    <row r="253" spans="2:8" x14ac:dyDescent="0.2">
      <c r="B253" s="66"/>
      <c r="C253" s="66"/>
      <c r="D253" s="86"/>
      <c r="E253" s="87"/>
      <c r="F253" s="88"/>
      <c r="G253" s="91"/>
      <c r="H253" s="39"/>
    </row>
    <row r="254" spans="2:8" x14ac:dyDescent="0.2">
      <c r="B254" s="66"/>
      <c r="C254" s="66"/>
      <c r="D254" s="66"/>
      <c r="E254" s="66"/>
      <c r="F254" s="71"/>
      <c r="G254" s="72"/>
      <c r="H254" s="39"/>
    </row>
    <row r="255" spans="2:8" x14ac:dyDescent="0.2">
      <c r="B255" s="66"/>
      <c r="C255" s="66"/>
      <c r="D255" s="66"/>
      <c r="E255" s="66"/>
      <c r="F255" s="71"/>
      <c r="G255" s="72"/>
      <c r="H255" s="39"/>
    </row>
    <row r="256" spans="2:8" ht="15" x14ac:dyDescent="0.25">
      <c r="B256" s="66"/>
      <c r="C256" s="92"/>
      <c r="D256" s="93"/>
      <c r="E256" s="94"/>
      <c r="F256" s="71"/>
      <c r="G256" s="72"/>
      <c r="H256" s="39"/>
    </row>
    <row r="258" spans="3:7" ht="15" x14ac:dyDescent="0.25">
      <c r="C258"/>
      <c r="D258"/>
      <c r="G258"/>
    </row>
    <row r="260" spans="3:7" ht="15" x14ac:dyDescent="0.25">
      <c r="C260" s="63"/>
      <c r="D260" s="62"/>
      <c r="E260"/>
    </row>
  </sheetData>
  <mergeCells count="76">
    <mergeCell ref="C15:J15"/>
    <mergeCell ref="C20:J20"/>
    <mergeCell ref="A216:J219"/>
    <mergeCell ref="D232:H232"/>
    <mergeCell ref="C206:J206"/>
    <mergeCell ref="C27:J27"/>
    <mergeCell ref="C199:J199"/>
    <mergeCell ref="C196:J196"/>
    <mergeCell ref="C151:J151"/>
    <mergeCell ref="C45:J45"/>
    <mergeCell ref="C50:J50"/>
    <mergeCell ref="C56:J56"/>
    <mergeCell ref="C63:J63"/>
    <mergeCell ref="C67:J67"/>
    <mergeCell ref="C71:J71"/>
    <mergeCell ref="C75:J75"/>
    <mergeCell ref="A1:E3"/>
    <mergeCell ref="F1:J1"/>
    <mergeCell ref="A4:A5"/>
    <mergeCell ref="D4:D5"/>
    <mergeCell ref="E4:E5"/>
    <mergeCell ref="F4:F5"/>
    <mergeCell ref="G4:H4"/>
    <mergeCell ref="I4:J4"/>
    <mergeCell ref="B4:C4"/>
    <mergeCell ref="B5:C5"/>
    <mergeCell ref="F2:H2"/>
    <mergeCell ref="F3:G3"/>
    <mergeCell ref="D239:H239"/>
    <mergeCell ref="C7:J7"/>
    <mergeCell ref="C55:J55"/>
    <mergeCell ref="C70:J70"/>
    <mergeCell ref="C74:J74"/>
    <mergeCell ref="C116:J116"/>
    <mergeCell ref="E129:J129"/>
    <mergeCell ref="C24:J24"/>
    <mergeCell ref="C202:J202"/>
    <mergeCell ref="C117:J117"/>
    <mergeCell ref="C121:J121"/>
    <mergeCell ref="C94:J94"/>
    <mergeCell ref="C143:J143"/>
    <mergeCell ref="C36:J36"/>
    <mergeCell ref="C8:J8"/>
    <mergeCell ref="C138:J138"/>
    <mergeCell ref="C139:J139"/>
    <mergeCell ref="C144:J144"/>
    <mergeCell ref="C146:J146"/>
    <mergeCell ref="C152:J152"/>
    <mergeCell ref="A142:I142"/>
    <mergeCell ref="A205:I205"/>
    <mergeCell ref="A214:I214"/>
    <mergeCell ref="A195:I195"/>
    <mergeCell ref="A150:I150"/>
    <mergeCell ref="C193:J193"/>
    <mergeCell ref="C197:J197"/>
    <mergeCell ref="C200:J200"/>
    <mergeCell ref="C203:J203"/>
    <mergeCell ref="C159:J159"/>
    <mergeCell ref="C163:J163"/>
    <mergeCell ref="C175:J175"/>
    <mergeCell ref="C190:J190"/>
    <mergeCell ref="A54:I54"/>
    <mergeCell ref="A137:I137"/>
    <mergeCell ref="A128:I128"/>
    <mergeCell ref="A115:I115"/>
    <mergeCell ref="A73:I73"/>
    <mergeCell ref="A69:I69"/>
    <mergeCell ref="C130:J130"/>
    <mergeCell ref="C132:J132"/>
    <mergeCell ref="C134:J134"/>
    <mergeCell ref="C104:J104"/>
    <mergeCell ref="C111:J111"/>
    <mergeCell ref="C113:J113"/>
    <mergeCell ref="C106:J106"/>
    <mergeCell ref="C109:J109"/>
    <mergeCell ref="C88:J88"/>
  </mergeCells>
  <phoneticPr fontId="10" type="noConversion"/>
  <printOptions horizontalCentered="1"/>
  <pageMargins left="0.7" right="0.7" top="0.75" bottom="0.75" header="0.3" footer="0.3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38A7B-5B94-4E1B-9439-DB050D7AE58C}">
  <sheetPr>
    <pageSetUpPr fitToPage="1"/>
  </sheetPr>
  <dimension ref="A1:M114"/>
  <sheetViews>
    <sheetView topLeftCell="A88" zoomScale="90" zoomScaleNormal="90" workbookViewId="0">
      <selection activeCell="G88" sqref="G88"/>
    </sheetView>
  </sheetViews>
  <sheetFormatPr defaultRowHeight="15" x14ac:dyDescent="0.25"/>
  <cols>
    <col min="2" max="2" width="37.140625" bestFit="1" customWidth="1"/>
    <col min="3" max="4" width="15" bestFit="1" customWidth="1"/>
    <col min="5" max="6" width="16.140625" bestFit="1" customWidth="1"/>
    <col min="7" max="7" width="15" bestFit="1" customWidth="1"/>
    <col min="8" max="8" width="15" style="231" customWidth="1"/>
    <col min="9" max="9" width="15" customWidth="1"/>
    <col min="10" max="10" width="15" style="109" bestFit="1" customWidth="1"/>
    <col min="11" max="11" width="18.7109375" bestFit="1" customWidth="1"/>
    <col min="12" max="13" width="25.7109375" bestFit="1" customWidth="1"/>
    <col min="14" max="14" width="23" customWidth="1"/>
    <col min="15" max="15" width="23.7109375" customWidth="1"/>
  </cols>
  <sheetData>
    <row r="1" spans="1:11" ht="20.25" customHeight="1" x14ac:dyDescent="0.25">
      <c r="A1" s="299" t="s">
        <v>363</v>
      </c>
      <c r="B1" s="300"/>
      <c r="C1" s="300"/>
      <c r="D1" s="300"/>
      <c r="E1" s="300"/>
      <c r="F1" s="300"/>
      <c r="G1" s="300"/>
      <c r="H1" s="300"/>
      <c r="I1" s="300"/>
      <c r="J1" s="301"/>
      <c r="K1" s="45"/>
    </row>
    <row r="2" spans="1:11" ht="18" customHeight="1" x14ac:dyDescent="0.25">
      <c r="A2" s="302" t="s">
        <v>0</v>
      </c>
      <c r="B2" s="303"/>
      <c r="C2" s="303"/>
      <c r="D2" s="303"/>
      <c r="E2" s="303"/>
      <c r="F2" s="303"/>
      <c r="G2" s="303"/>
      <c r="H2" s="303"/>
      <c r="I2" s="303"/>
      <c r="J2" s="304"/>
      <c r="K2" s="45"/>
    </row>
    <row r="3" spans="1:11" ht="15" customHeight="1" x14ac:dyDescent="0.25">
      <c r="A3" s="290"/>
      <c r="B3" s="296"/>
      <c r="C3" s="296"/>
      <c r="D3" s="296"/>
      <c r="E3" s="296"/>
      <c r="F3" s="296"/>
      <c r="G3" s="296"/>
      <c r="H3" s="296"/>
      <c r="I3" s="296"/>
      <c r="J3" s="191"/>
      <c r="K3" s="45"/>
    </row>
    <row r="4" spans="1:11" x14ac:dyDescent="0.25">
      <c r="A4" s="297" t="s">
        <v>112</v>
      </c>
      <c r="B4" s="297" t="s">
        <v>113</v>
      </c>
      <c r="C4" s="305" t="s">
        <v>114</v>
      </c>
      <c r="D4" s="306"/>
      <c r="E4" s="306"/>
      <c r="F4" s="306"/>
      <c r="G4" s="306"/>
      <c r="H4" s="306"/>
      <c r="I4" s="306"/>
      <c r="J4" s="307"/>
      <c r="K4" s="46"/>
    </row>
    <row r="5" spans="1:11" x14ac:dyDescent="0.25">
      <c r="A5" s="298"/>
      <c r="B5" s="298"/>
      <c r="C5" s="107">
        <v>1</v>
      </c>
      <c r="D5" s="107">
        <v>2</v>
      </c>
      <c r="E5" s="107">
        <v>3</v>
      </c>
      <c r="F5" s="107">
        <v>4</v>
      </c>
      <c r="G5" s="107">
        <v>5</v>
      </c>
      <c r="H5" s="107">
        <v>6</v>
      </c>
      <c r="I5" s="210">
        <v>7</v>
      </c>
      <c r="J5" s="107">
        <v>8</v>
      </c>
      <c r="K5" s="46"/>
    </row>
    <row r="6" spans="1:11" x14ac:dyDescent="0.25">
      <c r="A6" s="289"/>
      <c r="B6" s="289"/>
      <c r="C6" s="289"/>
      <c r="D6" s="289"/>
      <c r="E6" s="289"/>
      <c r="F6" s="289"/>
      <c r="G6" s="289"/>
      <c r="H6" s="289"/>
      <c r="I6" s="290"/>
      <c r="J6" s="191"/>
      <c r="K6" s="45"/>
    </row>
    <row r="7" spans="1:11" x14ac:dyDescent="0.25">
      <c r="A7" s="108">
        <v>1</v>
      </c>
      <c r="B7" s="283" t="s">
        <v>38</v>
      </c>
      <c r="C7" s="283"/>
      <c r="D7" s="283"/>
      <c r="E7" s="283"/>
      <c r="F7" s="283"/>
      <c r="G7" s="283"/>
      <c r="H7" s="283"/>
      <c r="I7" s="284"/>
      <c r="J7" s="190"/>
      <c r="K7" s="46"/>
    </row>
    <row r="8" spans="1:11" x14ac:dyDescent="0.25">
      <c r="A8" s="124" t="s">
        <v>47</v>
      </c>
      <c r="B8" s="121" t="s">
        <v>115</v>
      </c>
      <c r="C8" s="127">
        <f>SUM('PLANILHA ORÇAMENTARIA'!J9:J14)/2</f>
        <v>34859.740000000005</v>
      </c>
      <c r="D8" s="127">
        <f>SUM(C8)</f>
        <v>34859.740000000005</v>
      </c>
      <c r="E8" s="127"/>
      <c r="F8" s="127"/>
      <c r="G8" s="127"/>
      <c r="H8" s="228"/>
      <c r="I8" s="211"/>
      <c r="J8" s="127"/>
      <c r="K8" s="133"/>
    </row>
    <row r="9" spans="1:11" x14ac:dyDescent="0.25">
      <c r="A9" s="124" t="s">
        <v>52</v>
      </c>
      <c r="B9" s="121" t="s">
        <v>116</v>
      </c>
      <c r="C9" s="127"/>
      <c r="D9" s="127"/>
      <c r="E9" s="127">
        <f>SUM('PLANILHA ORÇAMENTARIA'!J16:J19)</f>
        <v>8418.2400000000016</v>
      </c>
      <c r="F9" s="127"/>
      <c r="G9" s="127"/>
      <c r="H9" s="228"/>
      <c r="I9" s="211"/>
      <c r="J9" s="127"/>
      <c r="K9" s="133"/>
    </row>
    <row r="10" spans="1:11" x14ac:dyDescent="0.25">
      <c r="A10" s="124" t="s">
        <v>55</v>
      </c>
      <c r="B10" s="121" t="s">
        <v>117</v>
      </c>
      <c r="C10" s="127">
        <f>SUM('PLANILHA ORÇAMENTARIA'!J21:J23)</f>
        <v>1587.94</v>
      </c>
      <c r="D10" s="127"/>
      <c r="E10" s="127"/>
      <c r="F10" s="127"/>
      <c r="G10" s="127"/>
      <c r="H10" s="228"/>
      <c r="I10" s="211"/>
      <c r="J10" s="127"/>
      <c r="K10" s="133"/>
    </row>
    <row r="11" spans="1:11" x14ac:dyDescent="0.25">
      <c r="A11" s="124" t="s">
        <v>75</v>
      </c>
      <c r="B11" s="121" t="s">
        <v>367</v>
      </c>
      <c r="C11" s="127">
        <f>SUM('PLANILHA ORÇAMENTARIA'!J25:J26)</f>
        <v>1797</v>
      </c>
      <c r="D11" s="127"/>
      <c r="E11" s="127"/>
      <c r="F11" s="127"/>
      <c r="G11" s="127"/>
      <c r="H11" s="228"/>
      <c r="I11" s="211"/>
      <c r="J11" s="127"/>
      <c r="K11" s="133"/>
    </row>
    <row r="12" spans="1:11" x14ac:dyDescent="0.25">
      <c r="A12" s="124" t="s">
        <v>61</v>
      </c>
      <c r="B12" s="121" t="s">
        <v>119</v>
      </c>
      <c r="C12" s="127"/>
      <c r="D12" s="127"/>
      <c r="E12" s="127">
        <f>SUM('PLANILHA ORÇAMENTARIA'!J28:J35)</f>
        <v>29964.94</v>
      </c>
      <c r="F12" s="127"/>
      <c r="G12" s="127"/>
      <c r="H12" s="228"/>
      <c r="I12" s="211"/>
      <c r="J12" s="127"/>
      <c r="K12" s="133"/>
    </row>
    <row r="13" spans="1:11" x14ac:dyDescent="0.25">
      <c r="A13" s="124" t="s">
        <v>68</v>
      </c>
      <c r="B13" s="121" t="s">
        <v>476</v>
      </c>
      <c r="C13" s="127"/>
      <c r="D13" s="127"/>
      <c r="E13" s="127">
        <f>SUM('PLANILHA ORÇAMENTARIA'!J37:J44,'PLANILHA ORÇAMENTARIA'!J46:J49)</f>
        <v>103556.79999999997</v>
      </c>
      <c r="F13" s="127"/>
      <c r="G13" s="127"/>
      <c r="H13" s="228"/>
      <c r="I13" s="211"/>
      <c r="J13" s="127"/>
      <c r="K13" s="133"/>
    </row>
    <row r="14" spans="1:11" x14ac:dyDescent="0.25">
      <c r="A14" s="124" t="s">
        <v>74</v>
      </c>
      <c r="B14" s="121" t="s">
        <v>368</v>
      </c>
      <c r="C14" s="127"/>
      <c r="D14" s="127"/>
      <c r="E14" s="127"/>
      <c r="F14" s="127">
        <f>SUM('PLANILHA ORÇAMENTARIA'!J51:J52)</f>
        <v>871.97</v>
      </c>
      <c r="G14" s="127"/>
      <c r="H14" s="228"/>
      <c r="I14" s="211"/>
      <c r="J14" s="127"/>
      <c r="K14" s="133"/>
    </row>
    <row r="15" spans="1:11" x14ac:dyDescent="0.25">
      <c r="A15" s="136"/>
      <c r="B15" s="285" t="s">
        <v>440</v>
      </c>
      <c r="C15" s="286"/>
      <c r="D15" s="286"/>
      <c r="E15" s="286"/>
      <c r="F15" s="286"/>
      <c r="G15" s="286"/>
      <c r="H15" s="286"/>
      <c r="I15" s="286"/>
      <c r="J15" s="219"/>
      <c r="K15" s="133"/>
    </row>
    <row r="16" spans="1:11" ht="42.75" x14ac:dyDescent="0.25">
      <c r="A16" s="120" t="s">
        <v>78</v>
      </c>
      <c r="B16" s="128" t="s">
        <v>225</v>
      </c>
      <c r="C16" s="127">
        <f>'PLANILHA ORÇAMENTARIA'!J207/8/2</f>
        <v>3168.15</v>
      </c>
      <c r="D16" s="127">
        <f>'PLANILHA ORÇAMENTARIA'!J207/8</f>
        <v>6336.3</v>
      </c>
      <c r="E16" s="127">
        <f>'PLANILHA ORÇAMENTARIA'!J207/8/3</f>
        <v>2112.1</v>
      </c>
      <c r="F16" s="127">
        <f>'PLANILHA ORÇAMENTARIA'!J207/8/8-0.0075</f>
        <v>792.03</v>
      </c>
      <c r="G16" s="129"/>
      <c r="H16" s="134"/>
      <c r="I16" s="212"/>
      <c r="J16" s="129"/>
      <c r="K16" s="133"/>
    </row>
    <row r="17" spans="1:11" ht="28.5" x14ac:dyDescent="0.25">
      <c r="A17" s="120" t="s">
        <v>441</v>
      </c>
      <c r="B17" s="128" t="s">
        <v>313</v>
      </c>
      <c r="C17" s="127">
        <f>'PLANILHA ORÇAMENTARIA'!J208/8/2</f>
        <v>3445.8</v>
      </c>
      <c r="D17" s="127">
        <f>'PLANILHA ORÇAMENTARIA'!J208/8</f>
        <v>6891.6</v>
      </c>
      <c r="E17" s="127">
        <f>'PLANILHA ORÇAMENTARIA'!J208/8/3</f>
        <v>2297.2000000000003</v>
      </c>
      <c r="F17" s="127">
        <f>'PLANILHA ORÇAMENTARIA'!J208/8/7-0.004285714286</f>
        <v>984.50999999999976</v>
      </c>
      <c r="G17" s="129"/>
      <c r="H17" s="134"/>
      <c r="I17" s="212"/>
      <c r="J17" s="129"/>
      <c r="K17" s="133"/>
    </row>
    <row r="18" spans="1:11" x14ac:dyDescent="0.25">
      <c r="A18" s="120" t="s">
        <v>442</v>
      </c>
      <c r="B18" s="130" t="s">
        <v>314</v>
      </c>
      <c r="C18" s="127">
        <f>'PLANILHA ORÇAMENTARIA'!J209/8/2</f>
        <v>6890.4</v>
      </c>
      <c r="D18" s="127">
        <f>'PLANILHA ORÇAMENTARIA'!J209/8</f>
        <v>13780.8</v>
      </c>
      <c r="E18" s="127">
        <f>'PLANILHA ORÇAMENTARIA'!J209/8/3</f>
        <v>4593.5999999999995</v>
      </c>
      <c r="F18" s="127">
        <f>'PLANILHA ORÇAMENTARIA'!J209/8/7-0.00571428571</f>
        <v>1968.6800000000042</v>
      </c>
      <c r="G18" s="129"/>
      <c r="H18" s="134"/>
      <c r="I18" s="212"/>
      <c r="J18" s="129"/>
      <c r="K18" s="133"/>
    </row>
    <row r="19" spans="1:11" x14ac:dyDescent="0.25">
      <c r="A19" s="120" t="s">
        <v>443</v>
      </c>
      <c r="B19" s="131" t="s">
        <v>315</v>
      </c>
      <c r="C19" s="127">
        <f>'PLANILHA ORÇAMENTARIA'!J210/8/2</f>
        <v>4965.6000000000004</v>
      </c>
      <c r="D19" s="127">
        <f>'PLANILHA ORÇAMENTARIA'!J210/8</f>
        <v>9931.2000000000007</v>
      </c>
      <c r="E19" s="127">
        <f>'PLANILHA ORÇAMENTARIA'!J210/8/3</f>
        <v>3310.4</v>
      </c>
      <c r="F19" s="127">
        <f>'PLANILHA ORÇAMENTARIA'!J210/8/7-0.00285714286</f>
        <v>1418.7399999999973</v>
      </c>
      <c r="G19" s="129"/>
      <c r="H19" s="134"/>
      <c r="I19" s="212"/>
      <c r="J19" s="129"/>
      <c r="K19" s="133"/>
    </row>
    <row r="20" spans="1:11" x14ac:dyDescent="0.25">
      <c r="A20" s="120" t="s">
        <v>444</v>
      </c>
      <c r="B20" s="131" t="s">
        <v>316</v>
      </c>
      <c r="C20" s="127"/>
      <c r="D20" s="127"/>
      <c r="E20" s="127">
        <f>'PLANILHA ORÇAMENTARIA'!J211/2/3</f>
        <v>1802.3999999999999</v>
      </c>
      <c r="F20" s="126"/>
      <c r="G20" s="129"/>
      <c r="H20" s="134"/>
      <c r="I20" s="212"/>
      <c r="J20" s="129"/>
      <c r="K20" s="133"/>
    </row>
    <row r="21" spans="1:11" x14ac:dyDescent="0.25">
      <c r="A21" s="120" t="s">
        <v>445</v>
      </c>
      <c r="B21" s="131" t="s">
        <v>340</v>
      </c>
      <c r="C21" s="127"/>
      <c r="D21" s="127"/>
      <c r="E21" s="127">
        <f>'PLANILHA ORÇAMENTARIA'!J212/3/3</f>
        <v>1898.3999999999999</v>
      </c>
      <c r="F21" s="126"/>
      <c r="G21" s="129"/>
      <c r="H21" s="134"/>
      <c r="I21" s="212"/>
      <c r="J21" s="129"/>
      <c r="K21" s="133"/>
    </row>
    <row r="22" spans="1:11" x14ac:dyDescent="0.25">
      <c r="A22" s="120" t="s">
        <v>446</v>
      </c>
      <c r="B22" s="131" t="s">
        <v>334</v>
      </c>
      <c r="C22" s="127"/>
      <c r="D22" s="127"/>
      <c r="E22" s="127">
        <f>'PLANILHA ORÇAMENTARIA'!J213/3</f>
        <v>3484.7999999999997</v>
      </c>
      <c r="F22" s="126"/>
      <c r="G22" s="129"/>
      <c r="H22" s="134"/>
      <c r="I22" s="212"/>
      <c r="J22" s="129"/>
      <c r="K22" s="133"/>
    </row>
    <row r="23" spans="1:11" x14ac:dyDescent="0.25">
      <c r="A23" s="108"/>
      <c r="B23" s="308" t="s">
        <v>489</v>
      </c>
      <c r="C23" s="308"/>
      <c r="D23" s="308"/>
      <c r="E23" s="308"/>
      <c r="F23" s="308"/>
      <c r="G23" s="308"/>
      <c r="H23" s="308"/>
      <c r="I23" s="309"/>
      <c r="J23" s="192"/>
      <c r="K23" s="133"/>
    </row>
    <row r="24" spans="1:11" x14ac:dyDescent="0.25">
      <c r="A24" s="124" t="s">
        <v>16</v>
      </c>
      <c r="B24" s="130" t="s">
        <v>369</v>
      </c>
      <c r="C24" s="126"/>
      <c r="D24" s="126"/>
      <c r="E24" s="127">
        <f>SUM('PLANILHA ORÇAMENTARIA'!J57:J62)/2</f>
        <v>72625.31</v>
      </c>
      <c r="F24" s="127">
        <f>SUM(E24)</f>
        <v>72625.31</v>
      </c>
      <c r="G24" s="126"/>
      <c r="H24" s="228"/>
      <c r="I24" s="213"/>
      <c r="J24" s="126"/>
      <c r="K24" s="133"/>
    </row>
    <row r="25" spans="1:11" x14ac:dyDescent="0.25">
      <c r="A25" s="124" t="s">
        <v>18</v>
      </c>
      <c r="B25" s="130" t="s">
        <v>57</v>
      </c>
      <c r="C25" s="126"/>
      <c r="D25" s="126"/>
      <c r="E25" s="127"/>
      <c r="F25" s="127">
        <f>SUM('PLANILHA ORÇAMENTARIA'!J64:J66)</f>
        <v>151.02000000000001</v>
      </c>
      <c r="G25" s="126"/>
      <c r="H25" s="228"/>
      <c r="I25" s="213"/>
      <c r="J25" s="126"/>
      <c r="K25" s="133"/>
    </row>
    <row r="26" spans="1:11" x14ac:dyDescent="0.25">
      <c r="A26" s="124" t="s">
        <v>20</v>
      </c>
      <c r="B26" s="130" t="s">
        <v>368</v>
      </c>
      <c r="C26" s="126"/>
      <c r="D26" s="126"/>
      <c r="E26" s="127"/>
      <c r="F26" s="127">
        <f>SUM('PLANILHA ORÇAMENTARIA'!J68)</f>
        <v>88.15</v>
      </c>
      <c r="G26" s="126"/>
      <c r="H26" s="228"/>
      <c r="I26" s="213"/>
      <c r="J26" s="126"/>
      <c r="K26" s="133"/>
    </row>
    <row r="27" spans="1:11" x14ac:dyDescent="0.25">
      <c r="A27" s="136"/>
      <c r="B27" s="285" t="s">
        <v>440</v>
      </c>
      <c r="C27" s="286"/>
      <c r="D27" s="286"/>
      <c r="E27" s="286"/>
      <c r="F27" s="286"/>
      <c r="G27" s="286"/>
      <c r="H27" s="286"/>
      <c r="I27" s="286"/>
      <c r="J27" s="219"/>
      <c r="K27" s="133"/>
    </row>
    <row r="28" spans="1:11" ht="42.75" x14ac:dyDescent="0.25">
      <c r="A28" s="120" t="s">
        <v>120</v>
      </c>
      <c r="B28" s="113" t="s">
        <v>225</v>
      </c>
      <c r="C28" s="47"/>
      <c r="D28" s="47"/>
      <c r="E28" s="127">
        <f>'PLANILHA ORÇAMENTARIA'!J207/8/3</f>
        <v>2112.1</v>
      </c>
      <c r="F28" s="127">
        <f>'PLANILHA ORÇAMENTARIA'!J207/8/8-0.0075</f>
        <v>792.03</v>
      </c>
      <c r="G28" s="132"/>
      <c r="H28" s="134"/>
      <c r="I28" s="214"/>
      <c r="J28" s="132"/>
      <c r="K28" s="133"/>
    </row>
    <row r="29" spans="1:11" ht="28.5" x14ac:dyDescent="0.25">
      <c r="A29" s="120" t="s">
        <v>121</v>
      </c>
      <c r="B29" s="113" t="s">
        <v>313</v>
      </c>
      <c r="C29" s="47"/>
      <c r="D29" s="47"/>
      <c r="E29" s="127">
        <f>'PLANILHA ORÇAMENTARIA'!J208/8/3</f>
        <v>2297.2000000000003</v>
      </c>
      <c r="F29" s="127">
        <f>'PLANILHA ORÇAMENTARIA'!J208/8/7-0.004285714286</f>
        <v>984.50999999999976</v>
      </c>
      <c r="G29" s="132"/>
      <c r="H29" s="134"/>
      <c r="I29" s="214"/>
      <c r="J29" s="132"/>
      <c r="K29" s="133"/>
    </row>
    <row r="30" spans="1:11" x14ac:dyDescent="0.25">
      <c r="A30" s="120" t="s">
        <v>402</v>
      </c>
      <c r="B30" s="121" t="s">
        <v>314</v>
      </c>
      <c r="C30" s="47"/>
      <c r="D30" s="47"/>
      <c r="E30" s="127">
        <f>'PLANILHA ORÇAMENTARIA'!J209/8/3</f>
        <v>4593.5999999999995</v>
      </c>
      <c r="F30" s="127">
        <f>'PLANILHA ORÇAMENTARIA'!J209/8/7-0.00571428571</f>
        <v>1968.6800000000042</v>
      </c>
      <c r="G30" s="132"/>
      <c r="H30" s="134"/>
      <c r="I30" s="214"/>
      <c r="J30" s="132"/>
      <c r="K30" s="133"/>
    </row>
    <row r="31" spans="1:11" x14ac:dyDescent="0.25">
      <c r="A31" s="120" t="s">
        <v>404</v>
      </c>
      <c r="B31" s="15" t="s">
        <v>315</v>
      </c>
      <c r="C31" s="47"/>
      <c r="D31" s="47"/>
      <c r="E31" s="127">
        <f>'PLANILHA ORÇAMENTARIA'!J210/8/3</f>
        <v>3310.4</v>
      </c>
      <c r="F31" s="127">
        <f>'PLANILHA ORÇAMENTARIA'!J210/8/7-0.00285714286</f>
        <v>1418.7399999999973</v>
      </c>
      <c r="G31" s="132"/>
      <c r="H31" s="134"/>
      <c r="I31" s="214"/>
      <c r="J31" s="132"/>
      <c r="K31" s="133"/>
    </row>
    <row r="32" spans="1:11" x14ac:dyDescent="0.25">
      <c r="A32" s="120" t="s">
        <v>406</v>
      </c>
      <c r="B32" s="15" t="s">
        <v>316</v>
      </c>
      <c r="C32" s="47"/>
      <c r="D32" s="47"/>
      <c r="E32" s="127">
        <f>'PLANILHA ORÇAMENTARIA'!J211/2/3</f>
        <v>1802.3999999999999</v>
      </c>
      <c r="F32" s="127">
        <f>'PLANILHA ORÇAMENTARIA'!J211/2/3</f>
        <v>1802.3999999999999</v>
      </c>
      <c r="G32" s="132"/>
      <c r="H32" s="134"/>
      <c r="I32" s="214"/>
      <c r="J32" s="132"/>
      <c r="K32" s="133"/>
    </row>
    <row r="33" spans="1:13" x14ac:dyDescent="0.25">
      <c r="A33" s="120" t="s">
        <v>408</v>
      </c>
      <c r="B33" s="15" t="s">
        <v>340</v>
      </c>
      <c r="C33" s="47"/>
      <c r="D33" s="47"/>
      <c r="E33" s="127">
        <f>'PLANILHA ORÇAMENTARIA'!J212/3/3</f>
        <v>1898.3999999999999</v>
      </c>
      <c r="F33" s="127">
        <f>'PLANILHA ORÇAMENTARIA'!J212/3/3</f>
        <v>1898.3999999999999</v>
      </c>
      <c r="G33" s="132"/>
      <c r="H33" s="134"/>
      <c r="I33" s="214"/>
      <c r="J33" s="132"/>
      <c r="K33" s="133"/>
    </row>
    <row r="34" spans="1:13" x14ac:dyDescent="0.25">
      <c r="A34" s="108">
        <v>3</v>
      </c>
      <c r="B34" s="283" t="s">
        <v>81</v>
      </c>
      <c r="C34" s="283"/>
      <c r="D34" s="283"/>
      <c r="E34" s="283"/>
      <c r="F34" s="283"/>
      <c r="G34" s="283"/>
      <c r="H34" s="283"/>
      <c r="I34" s="284"/>
      <c r="J34" s="190"/>
      <c r="K34" s="133"/>
    </row>
    <row r="35" spans="1:13" x14ac:dyDescent="0.25">
      <c r="A35" s="124" t="s">
        <v>23</v>
      </c>
      <c r="B35" s="121" t="s">
        <v>370</v>
      </c>
      <c r="C35" s="125"/>
      <c r="D35" s="125"/>
      <c r="E35" s="125"/>
      <c r="F35" s="127">
        <f>SUM('PLANILHA ORÇAMENTARIA'!J72)</f>
        <v>1315.6</v>
      </c>
      <c r="G35" s="125"/>
      <c r="H35" s="228"/>
      <c r="I35" s="215"/>
      <c r="J35" s="125"/>
      <c r="K35" s="133"/>
    </row>
    <row r="36" spans="1:13" x14ac:dyDescent="0.25">
      <c r="A36" s="136"/>
      <c r="B36" s="285" t="s">
        <v>440</v>
      </c>
      <c r="C36" s="286"/>
      <c r="D36" s="286"/>
      <c r="E36" s="286"/>
      <c r="F36" s="286"/>
      <c r="G36" s="286"/>
      <c r="H36" s="286"/>
      <c r="I36" s="286"/>
      <c r="J36" s="219"/>
      <c r="K36" s="133"/>
    </row>
    <row r="37" spans="1:13" ht="42.75" x14ac:dyDescent="0.25">
      <c r="A37" s="120" t="s">
        <v>25</v>
      </c>
      <c r="B37" s="113" t="s">
        <v>225</v>
      </c>
      <c r="C37" s="47"/>
      <c r="D37" s="47"/>
      <c r="E37" s="47"/>
      <c r="F37" s="127">
        <f>'PLANILHA ORÇAMENTARIA'!J207/8/8-0.0075</f>
        <v>792.03</v>
      </c>
      <c r="G37" s="47"/>
      <c r="H37" s="134"/>
      <c r="I37" s="216"/>
      <c r="J37" s="47"/>
      <c r="K37" s="133"/>
    </row>
    <row r="38" spans="1:13" x14ac:dyDescent="0.25">
      <c r="A38" s="120" t="s">
        <v>122</v>
      </c>
      <c r="B38" s="15" t="s">
        <v>316</v>
      </c>
      <c r="C38" s="47"/>
      <c r="D38" s="47"/>
      <c r="E38" s="47"/>
      <c r="F38" s="127">
        <f>'PLANILHA ORÇAMENTARIA'!J211/2/3</f>
        <v>1802.3999999999999</v>
      </c>
      <c r="G38" s="47"/>
      <c r="H38" s="134"/>
      <c r="I38" s="216"/>
      <c r="J38" s="47"/>
      <c r="K38" s="133"/>
    </row>
    <row r="39" spans="1:13" x14ac:dyDescent="0.25">
      <c r="A39" s="120" t="s">
        <v>417</v>
      </c>
      <c r="B39" s="15" t="s">
        <v>340</v>
      </c>
      <c r="C39" s="47"/>
      <c r="D39" s="47"/>
      <c r="E39" s="47"/>
      <c r="F39" s="127">
        <f>'PLANILHA ORÇAMENTARIA'!J212/3/3</f>
        <v>1898.3999999999999</v>
      </c>
      <c r="G39" s="47"/>
      <c r="H39" s="134"/>
      <c r="I39" s="216"/>
      <c r="J39" s="47"/>
      <c r="K39" s="133"/>
    </row>
    <row r="40" spans="1:13" x14ac:dyDescent="0.25">
      <c r="A40" s="108">
        <v>4</v>
      </c>
      <c r="B40" s="283" t="s">
        <v>447</v>
      </c>
      <c r="C40" s="283"/>
      <c r="D40" s="283"/>
      <c r="E40" s="283"/>
      <c r="F40" s="283"/>
      <c r="G40" s="283"/>
      <c r="H40" s="283"/>
      <c r="I40" s="284"/>
      <c r="J40" s="190"/>
      <c r="K40" s="133"/>
    </row>
    <row r="41" spans="1:13" x14ac:dyDescent="0.25">
      <c r="A41" s="124" t="s">
        <v>84</v>
      </c>
      <c r="B41" s="121" t="s">
        <v>371</v>
      </c>
      <c r="C41" s="125"/>
      <c r="D41" s="125"/>
      <c r="E41" s="127">
        <f>SUM('PLANILHA ORÇAMENTARIA'!J77:J86)</f>
        <v>10984.730000000001</v>
      </c>
      <c r="F41" s="127"/>
      <c r="G41" s="125"/>
      <c r="H41" s="228"/>
      <c r="I41" s="215"/>
      <c r="J41" s="125"/>
      <c r="K41" s="133"/>
    </row>
    <row r="42" spans="1:13" x14ac:dyDescent="0.25">
      <c r="A42" s="124" t="s">
        <v>86</v>
      </c>
      <c r="B42" s="121" t="s">
        <v>372</v>
      </c>
      <c r="C42" s="125"/>
      <c r="D42" s="125"/>
      <c r="E42" s="127"/>
      <c r="F42" s="127">
        <f>SUM('PLANILHA ORÇAMENTARIA'!J89:J93)</f>
        <v>370.50999999999993</v>
      </c>
      <c r="G42" s="125"/>
      <c r="H42" s="228"/>
      <c r="I42" s="215"/>
      <c r="J42" s="125"/>
      <c r="K42" s="133"/>
      <c r="L42" s="139"/>
    </row>
    <row r="43" spans="1:13" x14ac:dyDescent="0.25">
      <c r="A43" s="124" t="s">
        <v>88</v>
      </c>
      <c r="B43" s="121" t="s">
        <v>368</v>
      </c>
      <c r="C43" s="125"/>
      <c r="D43" s="125"/>
      <c r="E43" s="127">
        <f>SUM('PLANILHA ORÇAMENTARIA'!J95:J102)</f>
        <v>1254</v>
      </c>
      <c r="F43" s="127">
        <f>SUM('PLANILHA ORÇAMENTARIA'!J103)</f>
        <v>2540.64</v>
      </c>
      <c r="G43" s="125"/>
      <c r="H43" s="228"/>
      <c r="I43" s="215"/>
      <c r="J43" s="125"/>
      <c r="K43" s="133"/>
    </row>
    <row r="44" spans="1:13" x14ac:dyDescent="0.25">
      <c r="A44" s="124" t="s">
        <v>89</v>
      </c>
      <c r="B44" s="121" t="s">
        <v>57</v>
      </c>
      <c r="C44" s="125"/>
      <c r="D44" s="125"/>
      <c r="E44" s="127">
        <f>SUM('PLANILHA ORÇAMENTARIA'!J105)</f>
        <v>151.80000000000001</v>
      </c>
      <c r="F44" s="127"/>
      <c r="G44" s="125"/>
      <c r="H44" s="228"/>
      <c r="I44" s="215"/>
      <c r="J44" s="125"/>
      <c r="K44" s="133"/>
    </row>
    <row r="45" spans="1:13" x14ac:dyDescent="0.25">
      <c r="A45" s="124" t="s">
        <v>123</v>
      </c>
      <c r="B45" s="121" t="s">
        <v>369</v>
      </c>
      <c r="C45" s="125"/>
      <c r="D45" s="125"/>
      <c r="E45" s="127"/>
      <c r="F45" s="127">
        <f>SUM('PLANILHA ORÇAMENTARIA'!J107:J108)</f>
        <v>1410.36</v>
      </c>
      <c r="G45" s="125"/>
      <c r="H45" s="228"/>
      <c r="I45" s="215"/>
      <c r="J45" s="125"/>
      <c r="K45" s="133"/>
      <c r="L45" s="140"/>
      <c r="M45" s="138"/>
    </row>
    <row r="46" spans="1:13" x14ac:dyDescent="0.25">
      <c r="A46" s="124" t="s">
        <v>284</v>
      </c>
      <c r="B46" s="121" t="s">
        <v>373</v>
      </c>
      <c r="C46" s="125"/>
      <c r="D46" s="125"/>
      <c r="E46" s="127"/>
      <c r="F46" s="127">
        <f>SUM('PLANILHA ORÇAMENTARIA'!J110)</f>
        <v>1409.52</v>
      </c>
      <c r="G46" s="125"/>
      <c r="H46" s="228"/>
      <c r="I46" s="215"/>
      <c r="J46" s="125"/>
      <c r="K46" s="133"/>
    </row>
    <row r="47" spans="1:13" x14ac:dyDescent="0.25">
      <c r="A47" s="124" t="s">
        <v>365</v>
      </c>
      <c r="B47" s="121" t="s">
        <v>374</v>
      </c>
      <c r="C47" s="125"/>
      <c r="D47" s="125"/>
      <c r="E47" s="127"/>
      <c r="F47" s="127">
        <f>SUM('PLANILHA ORÇAMENTARIA'!J112)</f>
        <v>4860.51</v>
      </c>
      <c r="G47" s="125"/>
      <c r="H47" s="228"/>
      <c r="I47" s="215"/>
      <c r="J47" s="125"/>
      <c r="K47" s="133"/>
    </row>
    <row r="48" spans="1:13" x14ac:dyDescent="0.25">
      <c r="A48" s="124" t="s">
        <v>366</v>
      </c>
      <c r="B48" s="121" t="s">
        <v>118</v>
      </c>
      <c r="C48" s="125"/>
      <c r="D48" s="125"/>
      <c r="E48" s="127"/>
      <c r="F48" s="127">
        <f>SUM('PLANILHA ORÇAMENTARIA'!J114)</f>
        <v>4040</v>
      </c>
      <c r="G48" s="125"/>
      <c r="H48" s="228"/>
      <c r="I48" s="215"/>
      <c r="J48" s="125"/>
      <c r="K48" s="133"/>
    </row>
    <row r="49" spans="1:11" x14ac:dyDescent="0.25">
      <c r="A49" s="136"/>
      <c r="B49" s="285" t="s">
        <v>440</v>
      </c>
      <c r="C49" s="286"/>
      <c r="D49" s="286"/>
      <c r="E49" s="286"/>
      <c r="F49" s="286"/>
      <c r="G49" s="286"/>
      <c r="H49" s="286"/>
      <c r="I49" s="286"/>
      <c r="J49" s="219"/>
      <c r="K49" s="133"/>
    </row>
    <row r="50" spans="1:11" ht="42.75" x14ac:dyDescent="0.25">
      <c r="A50" s="120" t="s">
        <v>448</v>
      </c>
      <c r="B50" s="113" t="s">
        <v>225</v>
      </c>
      <c r="C50" s="47"/>
      <c r="D50" s="47"/>
      <c r="E50" s="127">
        <f>'PLANILHA ORÇAMENTARIA'!J207/8/3</f>
        <v>2112.1</v>
      </c>
      <c r="F50" s="127">
        <f>'PLANILHA ORÇAMENTARIA'!J207/8/8-0.0075</f>
        <v>792.03</v>
      </c>
      <c r="G50" s="47"/>
      <c r="H50" s="134"/>
      <c r="I50" s="216"/>
      <c r="J50" s="47"/>
      <c r="K50" s="133"/>
    </row>
    <row r="51" spans="1:11" ht="28.5" x14ac:dyDescent="0.25">
      <c r="A51" s="120" t="s">
        <v>449</v>
      </c>
      <c r="B51" s="113" t="s">
        <v>313</v>
      </c>
      <c r="C51" s="47"/>
      <c r="D51" s="47"/>
      <c r="E51" s="127">
        <f>'PLANILHA ORÇAMENTARIA'!J208/8/3</f>
        <v>2297.2000000000003</v>
      </c>
      <c r="F51" s="127">
        <f>'PLANILHA ORÇAMENTARIA'!J208/8/7-0.004285714286</f>
        <v>984.50999999999976</v>
      </c>
      <c r="G51" s="47"/>
      <c r="H51" s="134"/>
      <c r="I51" s="216"/>
      <c r="J51" s="47"/>
      <c r="K51" s="133"/>
    </row>
    <row r="52" spans="1:11" x14ac:dyDescent="0.25">
      <c r="A52" s="120" t="s">
        <v>450</v>
      </c>
      <c r="B52" s="121" t="s">
        <v>314</v>
      </c>
      <c r="C52" s="47"/>
      <c r="D52" s="47"/>
      <c r="E52" s="127">
        <f>'PLANILHA ORÇAMENTARIA'!J209/8/3</f>
        <v>4593.5999999999995</v>
      </c>
      <c r="F52" s="127">
        <f>'PLANILHA ORÇAMENTARIA'!J209/8/7-0.00571428571</f>
        <v>1968.6800000000042</v>
      </c>
      <c r="G52" s="47"/>
      <c r="H52" s="134"/>
      <c r="I52" s="216"/>
      <c r="J52" s="47"/>
      <c r="K52" s="133"/>
    </row>
    <row r="53" spans="1:11" x14ac:dyDescent="0.25">
      <c r="A53" s="120" t="s">
        <v>451</v>
      </c>
      <c r="B53" s="15" t="s">
        <v>315</v>
      </c>
      <c r="C53" s="47"/>
      <c r="D53" s="47"/>
      <c r="E53" s="127">
        <f>'PLANILHA ORÇAMENTARIA'!J210/8/3</f>
        <v>3310.4</v>
      </c>
      <c r="F53" s="127">
        <f>'PLANILHA ORÇAMENTARIA'!J210/8/7-0.00285714286</f>
        <v>1418.7399999999973</v>
      </c>
      <c r="G53" s="47"/>
      <c r="H53" s="134"/>
      <c r="I53" s="216"/>
      <c r="J53" s="47"/>
      <c r="K53" s="133"/>
    </row>
    <row r="54" spans="1:11" x14ac:dyDescent="0.25">
      <c r="A54" s="120" t="s">
        <v>452</v>
      </c>
      <c r="B54" s="15" t="s">
        <v>316</v>
      </c>
      <c r="C54" s="47"/>
      <c r="D54" s="47"/>
      <c r="E54" s="127">
        <f>'PLANILHA ORÇAMENTARIA'!J211/2/3</f>
        <v>1802.3999999999999</v>
      </c>
      <c r="F54" s="127">
        <f>'PLANILHA ORÇAMENTARIA'!J211/2/3</f>
        <v>1802.3999999999999</v>
      </c>
      <c r="G54" s="47"/>
      <c r="H54" s="134"/>
      <c r="I54" s="216"/>
      <c r="J54" s="47"/>
      <c r="K54" s="133"/>
    </row>
    <row r="55" spans="1:11" x14ac:dyDescent="0.25">
      <c r="A55" s="120" t="s">
        <v>453</v>
      </c>
      <c r="B55" s="15" t="s">
        <v>340</v>
      </c>
      <c r="C55" s="47"/>
      <c r="D55" s="47"/>
      <c r="E55" s="127">
        <f>'PLANILHA ORÇAMENTARIA'!J212/3/3</f>
        <v>1898.3999999999999</v>
      </c>
      <c r="F55" s="127">
        <f>'PLANILHA ORÇAMENTARIA'!J212/3/3</f>
        <v>1898.3999999999999</v>
      </c>
      <c r="G55" s="47"/>
      <c r="H55" s="134"/>
      <c r="I55" s="216"/>
      <c r="J55" s="47"/>
      <c r="K55" s="133"/>
    </row>
    <row r="56" spans="1:11" x14ac:dyDescent="0.25">
      <c r="A56" s="120" t="s">
        <v>454</v>
      </c>
      <c r="B56" s="15" t="s">
        <v>334</v>
      </c>
      <c r="C56" s="47"/>
      <c r="D56" s="47"/>
      <c r="E56" s="127"/>
      <c r="F56" s="127">
        <f>'PLANILHA ORÇAMENTARIA'!J213/3/2</f>
        <v>1742.3999999999999</v>
      </c>
      <c r="G56" s="47"/>
      <c r="H56" s="134"/>
      <c r="I56" s="216"/>
      <c r="J56" s="47"/>
      <c r="K56" s="133"/>
    </row>
    <row r="57" spans="1:11" x14ac:dyDescent="0.25">
      <c r="A57" s="108">
        <v>5</v>
      </c>
      <c r="B57" s="283" t="s">
        <v>96</v>
      </c>
      <c r="C57" s="283"/>
      <c r="D57" s="283"/>
      <c r="E57" s="283"/>
      <c r="F57" s="283"/>
      <c r="G57" s="283"/>
      <c r="H57" s="283"/>
      <c r="I57" s="284"/>
      <c r="J57" s="190"/>
      <c r="K57" s="133"/>
    </row>
    <row r="58" spans="1:11" x14ac:dyDescent="0.25">
      <c r="A58" s="95" t="s">
        <v>97</v>
      </c>
      <c r="B58" s="15" t="s">
        <v>375</v>
      </c>
      <c r="C58" s="47"/>
      <c r="D58" s="47"/>
      <c r="E58" s="47"/>
      <c r="F58" s="137"/>
      <c r="G58" s="137">
        <f>SUM('PLANILHA ORÇAMENTARIA'!J118:J120)</f>
        <v>2824.1800000000003</v>
      </c>
      <c r="H58" s="134"/>
      <c r="I58" s="216"/>
      <c r="J58" s="47"/>
      <c r="K58" s="133"/>
    </row>
    <row r="59" spans="1:11" x14ac:dyDescent="0.25">
      <c r="A59" s="95" t="s">
        <v>98</v>
      </c>
      <c r="B59" s="15" t="s">
        <v>369</v>
      </c>
      <c r="C59" s="47"/>
      <c r="D59" s="47"/>
      <c r="E59" s="47"/>
      <c r="F59" s="137"/>
      <c r="G59" s="137">
        <f>SUM('PLANILHA ORÇAMENTARIA'!J122)</f>
        <v>40.1</v>
      </c>
      <c r="H59" s="134"/>
      <c r="I59" s="216"/>
      <c r="J59" s="47"/>
      <c r="K59" s="133"/>
    </row>
    <row r="60" spans="1:11" x14ac:dyDescent="0.25">
      <c r="A60" s="95" t="s">
        <v>99</v>
      </c>
      <c r="B60" s="15" t="s">
        <v>374</v>
      </c>
      <c r="C60" s="47"/>
      <c r="D60" s="47"/>
      <c r="E60" s="47"/>
      <c r="F60" s="137">
        <f>SUM('PLANILHA ORÇAMENTARIA'!J124)</f>
        <v>4860.51</v>
      </c>
      <c r="G60" s="137"/>
      <c r="H60" s="134"/>
      <c r="I60" s="216"/>
      <c r="J60" s="47"/>
      <c r="K60" s="133"/>
    </row>
    <row r="61" spans="1:11" x14ac:dyDescent="0.25">
      <c r="A61" s="95" t="s">
        <v>272</v>
      </c>
      <c r="B61" s="15" t="s">
        <v>376</v>
      </c>
      <c r="C61" s="47"/>
      <c r="D61" s="47"/>
      <c r="E61" s="47"/>
      <c r="F61" s="137"/>
      <c r="G61" s="137">
        <f>SUM('PLANILHA ORÇAMENTARIA'!J126:J127)</f>
        <v>1036</v>
      </c>
      <c r="H61" s="134"/>
      <c r="I61" s="216"/>
      <c r="J61" s="47"/>
      <c r="K61" s="133"/>
    </row>
    <row r="62" spans="1:11" x14ac:dyDescent="0.25">
      <c r="A62" s="136"/>
      <c r="B62" s="285" t="s">
        <v>440</v>
      </c>
      <c r="C62" s="286"/>
      <c r="D62" s="286"/>
      <c r="E62" s="286"/>
      <c r="F62" s="286"/>
      <c r="G62" s="286"/>
      <c r="H62" s="286"/>
      <c r="I62" s="286"/>
      <c r="J62" s="219"/>
      <c r="K62" s="133"/>
    </row>
    <row r="63" spans="1:11" ht="42.75" x14ac:dyDescent="0.25">
      <c r="A63" s="120" t="s">
        <v>455</v>
      </c>
      <c r="B63" s="113" t="s">
        <v>225</v>
      </c>
      <c r="C63" s="47"/>
      <c r="D63" s="47"/>
      <c r="E63" s="47"/>
      <c r="F63" s="127">
        <f>'PLANILHA ORÇAMENTARIA'!J207/8/8+0.0075-0.005</f>
        <v>792.04000000000008</v>
      </c>
      <c r="G63" s="127">
        <f>'PLANILHA ORÇAMENTARIA'!J207/8/3</f>
        <v>2112.1</v>
      </c>
      <c r="H63" s="134"/>
      <c r="I63" s="216"/>
      <c r="J63" s="47"/>
      <c r="K63" s="133"/>
    </row>
    <row r="64" spans="1:11" ht="28.5" x14ac:dyDescent="0.25">
      <c r="A64" s="120" t="s">
        <v>456</v>
      </c>
      <c r="B64" s="113" t="s">
        <v>313</v>
      </c>
      <c r="C64" s="47"/>
      <c r="D64" s="47"/>
      <c r="E64" s="47"/>
      <c r="F64" s="127">
        <f>'PLANILHA ORÇAMENTARIA'!J208/8/7-0.004285714286</f>
        <v>984.50999999999976</v>
      </c>
      <c r="G64" s="127">
        <f>'PLANILHA ORÇAMENTARIA'!J208/8/3</f>
        <v>2297.2000000000003</v>
      </c>
      <c r="H64" s="134"/>
      <c r="I64" s="216"/>
      <c r="J64" s="47"/>
      <c r="K64" s="133"/>
    </row>
    <row r="65" spans="1:11" x14ac:dyDescent="0.25">
      <c r="A65" s="120" t="s">
        <v>457</v>
      </c>
      <c r="B65" s="121" t="s">
        <v>314</v>
      </c>
      <c r="C65" s="47"/>
      <c r="D65" s="47"/>
      <c r="E65" s="47"/>
      <c r="F65" s="127">
        <f>'PLANILHA ORÇAMENTARIA'!J209/8/7-0.00571428571</f>
        <v>1968.6800000000042</v>
      </c>
      <c r="G65" s="127">
        <f>'PLANILHA ORÇAMENTARIA'!J209/8/3</f>
        <v>4593.5999999999995</v>
      </c>
      <c r="H65" s="134"/>
      <c r="I65" s="216"/>
      <c r="J65" s="47"/>
      <c r="K65" s="133"/>
    </row>
    <row r="66" spans="1:11" x14ac:dyDescent="0.25">
      <c r="A66" s="120" t="s">
        <v>458</v>
      </c>
      <c r="B66" s="15" t="s">
        <v>315</v>
      </c>
      <c r="C66" s="47"/>
      <c r="D66" s="47"/>
      <c r="E66" s="47"/>
      <c r="F66" s="127">
        <f>'PLANILHA ORÇAMENTARIA'!J210/8/7-0.00285714286</f>
        <v>1418.7399999999973</v>
      </c>
      <c r="G66" s="127">
        <f>'PLANILHA ORÇAMENTARIA'!J210/8/3</f>
        <v>3310.4</v>
      </c>
      <c r="H66" s="134"/>
      <c r="I66" s="216"/>
      <c r="J66" s="47"/>
      <c r="K66" s="133"/>
    </row>
    <row r="67" spans="1:11" x14ac:dyDescent="0.25">
      <c r="A67" s="108">
        <v>6</v>
      </c>
      <c r="B67" s="283" t="s">
        <v>101</v>
      </c>
      <c r="C67" s="283"/>
      <c r="D67" s="283"/>
      <c r="E67" s="283"/>
      <c r="F67" s="283"/>
      <c r="G67" s="283"/>
      <c r="H67" s="283"/>
      <c r="I67" s="284"/>
      <c r="J67" s="190"/>
      <c r="K67" s="133"/>
    </row>
    <row r="68" spans="1:11" x14ac:dyDescent="0.25">
      <c r="A68" s="95" t="s">
        <v>102</v>
      </c>
      <c r="B68" s="15" t="s">
        <v>377</v>
      </c>
      <c r="C68" s="47"/>
      <c r="D68" s="47"/>
      <c r="E68" s="47"/>
      <c r="F68" s="127">
        <f>SUM('PLANILHA ORÇAMENTARIA'!J131)</f>
        <v>4860.51</v>
      </c>
      <c r="G68" s="47"/>
      <c r="H68" s="134"/>
      <c r="I68" s="216"/>
      <c r="J68" s="47"/>
      <c r="K68" s="133"/>
    </row>
    <row r="69" spans="1:11" x14ac:dyDescent="0.25">
      <c r="A69" s="95" t="s">
        <v>103</v>
      </c>
      <c r="B69" s="15" t="s">
        <v>118</v>
      </c>
      <c r="C69" s="47"/>
      <c r="D69" s="47"/>
      <c r="E69" s="47"/>
      <c r="F69" s="127">
        <f>SUM('PLANILHA ORÇAMENTARIA'!J133:J133)</f>
        <v>587.12</v>
      </c>
      <c r="G69" s="47"/>
      <c r="H69" s="134"/>
      <c r="I69" s="216"/>
      <c r="J69" s="47"/>
      <c r="K69" s="133"/>
    </row>
    <row r="70" spans="1:11" x14ac:dyDescent="0.25">
      <c r="A70" s="95" t="s">
        <v>32</v>
      </c>
      <c r="B70" s="15" t="s">
        <v>378</v>
      </c>
      <c r="C70" s="47"/>
      <c r="D70" s="47"/>
      <c r="E70" s="47"/>
      <c r="F70" s="137">
        <f>SUM('PLANILHA ORÇAMENTARIA'!J135:J136)</f>
        <v>86.76</v>
      </c>
      <c r="H70" s="134"/>
      <c r="I70" s="216"/>
      <c r="J70" s="47"/>
      <c r="K70" s="133"/>
    </row>
    <row r="71" spans="1:11" x14ac:dyDescent="0.25">
      <c r="A71" s="136"/>
      <c r="B71" s="285" t="s">
        <v>440</v>
      </c>
      <c r="C71" s="286"/>
      <c r="D71" s="286"/>
      <c r="E71" s="286"/>
      <c r="F71" s="286"/>
      <c r="G71" s="286"/>
      <c r="H71" s="286"/>
      <c r="I71" s="286"/>
      <c r="J71" s="219"/>
      <c r="K71" s="133"/>
    </row>
    <row r="72" spans="1:11" ht="42.75" x14ac:dyDescent="0.25">
      <c r="A72" s="120" t="s">
        <v>459</v>
      </c>
      <c r="B72" s="113" t="s">
        <v>225</v>
      </c>
      <c r="C72" s="47"/>
      <c r="D72" s="47"/>
      <c r="E72" s="47"/>
      <c r="F72" s="127">
        <f>'PLANILHA ORÇAMENTARIA'!J207/8/8+0.0075-0.005</f>
        <v>792.04000000000008</v>
      </c>
      <c r="G72" s="47"/>
      <c r="H72" s="134"/>
      <c r="I72" s="216"/>
      <c r="J72" s="47"/>
      <c r="K72" s="133"/>
    </row>
    <row r="73" spans="1:11" ht="28.5" x14ac:dyDescent="0.25">
      <c r="A73" s="120" t="s">
        <v>460</v>
      </c>
      <c r="B73" s="113" t="s">
        <v>313</v>
      </c>
      <c r="C73" s="47"/>
      <c r="D73" s="47"/>
      <c r="E73" s="47"/>
      <c r="F73" s="127">
        <f>'PLANILHA ORÇAMENTARIA'!J208/8/7-0.004285714286</f>
        <v>984.50999999999976</v>
      </c>
      <c r="G73" s="47"/>
      <c r="H73" s="134"/>
      <c r="I73" s="216"/>
      <c r="J73" s="47"/>
      <c r="K73" s="133"/>
    </row>
    <row r="74" spans="1:11" x14ac:dyDescent="0.25">
      <c r="A74" s="120" t="s">
        <v>461</v>
      </c>
      <c r="B74" s="121" t="s">
        <v>314</v>
      </c>
      <c r="C74" s="47"/>
      <c r="D74" s="47"/>
      <c r="E74" s="47"/>
      <c r="F74" s="127">
        <f>'PLANILHA ORÇAMENTARIA'!J209/8/7-0.00571428571</f>
        <v>1968.6800000000042</v>
      </c>
      <c r="G74" s="47"/>
      <c r="H74" s="134"/>
      <c r="I74" s="216"/>
      <c r="J74" s="47"/>
      <c r="K74" s="133"/>
    </row>
    <row r="75" spans="1:11" x14ac:dyDescent="0.25">
      <c r="A75" s="120" t="s">
        <v>462</v>
      </c>
      <c r="B75" s="15" t="s">
        <v>315</v>
      </c>
      <c r="C75" s="47"/>
      <c r="D75" s="47"/>
      <c r="E75" s="47"/>
      <c r="F75" s="127">
        <f>'PLANILHA ORÇAMENTARIA'!J210/8/7-0.00285714286</f>
        <v>1418.7399999999973</v>
      </c>
      <c r="G75" s="47"/>
      <c r="H75" s="134"/>
      <c r="I75" s="216"/>
      <c r="J75" s="47"/>
      <c r="K75" s="133"/>
    </row>
    <row r="76" spans="1:11" x14ac:dyDescent="0.25">
      <c r="A76" s="120" t="s">
        <v>463</v>
      </c>
      <c r="B76" s="15" t="s">
        <v>334</v>
      </c>
      <c r="C76" s="47"/>
      <c r="D76" s="47"/>
      <c r="E76" s="47"/>
      <c r="F76" s="127">
        <f>'PLANILHA ORÇAMENTARIA'!J213/3/2</f>
        <v>1742.3999999999999</v>
      </c>
      <c r="H76" s="134"/>
      <c r="I76" s="216"/>
      <c r="J76" s="47"/>
      <c r="K76" s="133"/>
    </row>
    <row r="77" spans="1:11" x14ac:dyDescent="0.25">
      <c r="A77" s="108">
        <v>7</v>
      </c>
      <c r="B77" s="283" t="s">
        <v>107</v>
      </c>
      <c r="C77" s="283"/>
      <c r="D77" s="283"/>
      <c r="E77" s="283"/>
      <c r="F77" s="283"/>
      <c r="G77" s="283"/>
      <c r="H77" s="283"/>
      <c r="I77" s="284"/>
      <c r="J77" s="190"/>
      <c r="K77" s="133"/>
    </row>
    <row r="78" spans="1:11" x14ac:dyDescent="0.25">
      <c r="A78" s="95" t="s">
        <v>33</v>
      </c>
      <c r="B78" s="15" t="s">
        <v>118</v>
      </c>
      <c r="C78" s="47"/>
      <c r="D78" s="47"/>
      <c r="E78" s="47"/>
      <c r="F78" s="137">
        <f>SUM('PLANILHA ORÇAMENTARIA'!J140:J141)</f>
        <v>3470.02</v>
      </c>
      <c r="G78" s="47"/>
      <c r="H78" s="134"/>
      <c r="I78" s="216"/>
      <c r="J78" s="47"/>
      <c r="K78" s="133"/>
    </row>
    <row r="79" spans="1:11" x14ac:dyDescent="0.25">
      <c r="A79" s="136"/>
      <c r="B79" s="285" t="s">
        <v>440</v>
      </c>
      <c r="C79" s="286"/>
      <c r="D79" s="286"/>
      <c r="E79" s="286"/>
      <c r="F79" s="286"/>
      <c r="G79" s="286"/>
      <c r="H79" s="286"/>
      <c r="I79" s="286"/>
      <c r="J79" s="219"/>
      <c r="K79" s="133"/>
    </row>
    <row r="80" spans="1:11" ht="42.75" x14ac:dyDescent="0.25">
      <c r="A80" s="120" t="s">
        <v>464</v>
      </c>
      <c r="B80" s="113" t="s">
        <v>225</v>
      </c>
      <c r="C80" s="47"/>
      <c r="D80" s="47"/>
      <c r="E80" s="47"/>
      <c r="F80" s="127">
        <f>'PLANILHA ORÇAMENTARIA'!J207/8/8+0.0075-0.005</f>
        <v>792.04000000000008</v>
      </c>
      <c r="G80" s="47"/>
      <c r="H80" s="134"/>
      <c r="I80" s="216"/>
      <c r="J80" s="47"/>
      <c r="K80" s="133"/>
    </row>
    <row r="81" spans="1:11" ht="28.5" x14ac:dyDescent="0.25">
      <c r="A81" s="120" t="s">
        <v>465</v>
      </c>
      <c r="B81" s="113" t="s">
        <v>313</v>
      </c>
      <c r="C81" s="47"/>
      <c r="D81" s="47"/>
      <c r="E81" s="47"/>
      <c r="F81" s="127">
        <f>'PLANILHA ORÇAMENTARIA'!J208/8/7-0.004285714286</f>
        <v>984.50999999999976</v>
      </c>
      <c r="G81" s="47"/>
      <c r="H81" s="134"/>
      <c r="I81" s="216"/>
      <c r="J81" s="47"/>
      <c r="K81" s="133"/>
    </row>
    <row r="82" spans="1:11" x14ac:dyDescent="0.25">
      <c r="A82" s="120" t="s">
        <v>466</v>
      </c>
      <c r="B82" s="121" t="s">
        <v>314</v>
      </c>
      <c r="C82" s="47"/>
      <c r="D82" s="47"/>
      <c r="E82" s="47"/>
      <c r="F82" s="127">
        <f>'PLANILHA ORÇAMENTARIA'!J209/8/7-0.00571428571</f>
        <v>1968.6800000000042</v>
      </c>
      <c r="G82" s="47"/>
      <c r="H82" s="134"/>
      <c r="I82" s="216"/>
      <c r="J82" s="47"/>
      <c r="K82" s="133"/>
    </row>
    <row r="83" spans="1:11" x14ac:dyDescent="0.25">
      <c r="A83" s="120" t="s">
        <v>467</v>
      </c>
      <c r="B83" s="15" t="s">
        <v>315</v>
      </c>
      <c r="C83" s="47"/>
      <c r="D83" s="47"/>
      <c r="E83" s="47"/>
      <c r="F83" s="127">
        <f>'PLANILHA ORÇAMENTARIA'!J210/8/7-0.00285714286</f>
        <v>1418.7399999999973</v>
      </c>
      <c r="G83" s="47"/>
      <c r="H83" s="134"/>
      <c r="I83" s="216"/>
      <c r="J83" s="47"/>
      <c r="K83" s="133"/>
    </row>
    <row r="84" spans="1:11" x14ac:dyDescent="0.25">
      <c r="A84" s="108">
        <v>8</v>
      </c>
      <c r="B84" s="283" t="s">
        <v>110</v>
      </c>
      <c r="C84" s="283"/>
      <c r="D84" s="283"/>
      <c r="E84" s="283"/>
      <c r="F84" s="283"/>
      <c r="G84" s="283"/>
      <c r="H84" s="283"/>
      <c r="I84" s="284"/>
      <c r="J84" s="190"/>
      <c r="K84" s="133"/>
    </row>
    <row r="85" spans="1:11" x14ac:dyDescent="0.25">
      <c r="A85" s="95" t="s">
        <v>34</v>
      </c>
      <c r="B85" s="15" t="s">
        <v>118</v>
      </c>
      <c r="C85" s="47"/>
      <c r="D85" s="47"/>
      <c r="E85" s="47"/>
      <c r="F85" s="137">
        <f>SUM('PLANILHA ORÇAMENTARIA'!J145)</f>
        <v>862.43</v>
      </c>
      <c r="G85" s="137"/>
      <c r="H85" s="134"/>
      <c r="I85" s="216"/>
      <c r="J85" s="47"/>
      <c r="K85" s="133"/>
    </row>
    <row r="86" spans="1:11" x14ac:dyDescent="0.25">
      <c r="A86" s="95" t="s">
        <v>35</v>
      </c>
      <c r="B86" s="15" t="s">
        <v>491</v>
      </c>
      <c r="C86" s="47"/>
      <c r="D86" s="47"/>
      <c r="E86" s="47"/>
      <c r="F86" s="137"/>
      <c r="G86" s="137">
        <f>SUM('PLANILHA ORÇAMENTARIA'!J147:J149)/2-0.005</f>
        <v>5172.7599999999993</v>
      </c>
      <c r="H86" s="137">
        <f>SUM(G86)+0.01</f>
        <v>5172.7699999999995</v>
      </c>
      <c r="I86" s="216"/>
      <c r="J86" s="47"/>
      <c r="K86" s="133"/>
    </row>
    <row r="87" spans="1:11" x14ac:dyDescent="0.25">
      <c r="A87" s="136"/>
      <c r="B87" s="291" t="s">
        <v>440</v>
      </c>
      <c r="C87" s="292"/>
      <c r="D87" s="292"/>
      <c r="E87" s="292"/>
      <c r="F87" s="292"/>
      <c r="G87" s="292"/>
      <c r="H87" s="292"/>
      <c r="I87" s="292"/>
      <c r="J87" s="219"/>
      <c r="K87" s="133"/>
    </row>
    <row r="88" spans="1:11" ht="42.75" x14ac:dyDescent="0.25">
      <c r="A88" s="120" t="s">
        <v>468</v>
      </c>
      <c r="B88" s="113" t="s">
        <v>225</v>
      </c>
      <c r="C88" s="47"/>
      <c r="D88" s="47"/>
      <c r="E88" s="47"/>
      <c r="F88" s="127">
        <f>'PLANILHA ORÇAMENTARIA'!J207/8/8-0.0375+0.06</f>
        <v>792.06</v>
      </c>
      <c r="G88" s="127">
        <f>'PLANILHA ORÇAMENTARIA'!J207/8/3</f>
        <v>2112.1</v>
      </c>
      <c r="H88" s="127">
        <f>'PLANILHA ORÇAMENTARIA'!J207/8/2</f>
        <v>3168.15</v>
      </c>
      <c r="I88" s="217"/>
      <c r="J88" s="134"/>
      <c r="K88" s="135"/>
    </row>
    <row r="89" spans="1:11" ht="28.5" x14ac:dyDescent="0.25">
      <c r="A89" s="120" t="s">
        <v>469</v>
      </c>
      <c r="B89" s="113" t="s">
        <v>313</v>
      </c>
      <c r="C89" s="47"/>
      <c r="D89" s="47"/>
      <c r="E89" s="47"/>
      <c r="F89" s="127">
        <f>'PLANILHA ORÇAMENTARIA'!J208/8/7-0.004285714286+0.03</f>
        <v>984.53999999999974</v>
      </c>
      <c r="G89" s="127">
        <f>'PLANILHA ORÇAMENTARIA'!J208/8/3</f>
        <v>2297.2000000000003</v>
      </c>
      <c r="H89" s="127">
        <f>'PLANILHA ORÇAMENTARIA'!J208/8/2</f>
        <v>3445.8</v>
      </c>
      <c r="I89" s="217"/>
      <c r="J89" s="134"/>
      <c r="K89" s="135"/>
    </row>
    <row r="90" spans="1:11" x14ac:dyDescent="0.25">
      <c r="A90" s="120" t="s">
        <v>470</v>
      </c>
      <c r="B90" s="121" t="s">
        <v>314</v>
      </c>
      <c r="C90" s="47"/>
      <c r="D90" s="47"/>
      <c r="E90" s="47"/>
      <c r="F90" s="127">
        <f>'PLANILHA ORÇAMENTARIA'!J209/8/7-0.00571428571+0.04</f>
        <v>1968.7200000000041</v>
      </c>
      <c r="G90" s="127">
        <f>'PLANILHA ORÇAMENTARIA'!J209/8/3</f>
        <v>4593.5999999999995</v>
      </c>
      <c r="H90" s="127">
        <f>'PLANILHA ORÇAMENTARIA'!J209/8/2</f>
        <v>6890.4</v>
      </c>
      <c r="I90" s="217"/>
      <c r="J90" s="134"/>
    </row>
    <row r="91" spans="1:11" x14ac:dyDescent="0.25">
      <c r="A91" s="120" t="s">
        <v>471</v>
      </c>
      <c r="B91" s="15" t="s">
        <v>315</v>
      </c>
      <c r="C91" s="47"/>
      <c r="D91" s="47"/>
      <c r="E91" s="47"/>
      <c r="F91" s="127">
        <f>'PLANILHA ORÇAMENTARIA'!J210/8/7-0.00285714286+0.02</f>
        <v>1418.7599999999973</v>
      </c>
      <c r="G91" s="127">
        <f>'PLANILHA ORÇAMENTARIA'!J210/8/3</f>
        <v>3310.4</v>
      </c>
      <c r="H91" s="127">
        <f>'PLANILHA ORÇAMENTARIA'!J210/8/2</f>
        <v>4965.6000000000004</v>
      </c>
      <c r="I91" s="217"/>
      <c r="J91" s="134"/>
      <c r="K91" s="135"/>
    </row>
    <row r="92" spans="1:11" x14ac:dyDescent="0.25">
      <c r="A92" s="108">
        <v>9</v>
      </c>
      <c r="B92" s="283" t="s">
        <v>100</v>
      </c>
      <c r="C92" s="283"/>
      <c r="D92" s="283"/>
      <c r="E92" s="283"/>
      <c r="F92" s="283"/>
      <c r="G92" s="283"/>
      <c r="H92" s="283"/>
      <c r="I92" s="284"/>
      <c r="J92" s="190"/>
      <c r="K92" s="133"/>
    </row>
    <row r="93" spans="1:11" x14ac:dyDescent="0.25">
      <c r="A93" s="95" t="s">
        <v>36</v>
      </c>
      <c r="B93" s="15" t="s">
        <v>379</v>
      </c>
      <c r="C93" s="47"/>
      <c r="D93" s="47"/>
      <c r="E93" s="47"/>
      <c r="F93" s="47"/>
      <c r="G93" s="137">
        <f>SUM('PLANILHA ORÇAMENTARIA'!J153:J158)/2</f>
        <v>12166.099999999999</v>
      </c>
      <c r="H93" s="137">
        <f>SUM(G93)</f>
        <v>12166.099999999999</v>
      </c>
      <c r="I93" s="221"/>
      <c r="J93" s="220"/>
      <c r="K93" s="133"/>
    </row>
    <row r="94" spans="1:11" x14ac:dyDescent="0.25">
      <c r="A94" s="95" t="s">
        <v>137</v>
      </c>
      <c r="B94" s="15" t="s">
        <v>380</v>
      </c>
      <c r="C94" s="137">
        <f xml:space="preserve"> SUM('PLANILHA ORÇAMENTARIA'!J164:J174,'PLANILHA ORÇAMENTARIA'!J176:J189,'PLANILHA ORÇAMENTARIA'!J191:J192)</f>
        <v>1426.42</v>
      </c>
      <c r="D94" s="47"/>
      <c r="E94" s="47"/>
      <c r="F94" s="47"/>
      <c r="G94" s="220"/>
      <c r="H94" s="127">
        <f>SUM('PLANILHA ORÇAMENTARIA'!J160:J162)/3-0.00333333333</f>
        <v>4007.0900000000038</v>
      </c>
      <c r="I94" s="211">
        <f>SUM(H94)</f>
        <v>4007.0900000000038</v>
      </c>
      <c r="J94" s="211">
        <v>4007.1</v>
      </c>
      <c r="K94" s="133"/>
    </row>
    <row r="95" spans="1:11" x14ac:dyDescent="0.25">
      <c r="A95" s="95" t="s">
        <v>223</v>
      </c>
      <c r="B95" s="15" t="s">
        <v>381</v>
      </c>
      <c r="C95" s="47"/>
      <c r="D95" s="47"/>
      <c r="E95" s="47"/>
      <c r="F95" s="47"/>
      <c r="G95" s="220"/>
      <c r="H95" s="134"/>
      <c r="I95" s="218">
        <f>SUM('PLANILHA ORÇAMENTARIA'!J194)/2</f>
        <v>2938.25</v>
      </c>
      <c r="J95" s="218">
        <f>SUM(I95)</f>
        <v>2938.25</v>
      </c>
      <c r="K95" s="133"/>
    </row>
    <row r="96" spans="1:11" x14ac:dyDescent="0.25">
      <c r="A96" s="136"/>
      <c r="B96" s="285" t="s">
        <v>440</v>
      </c>
      <c r="C96" s="286"/>
      <c r="D96" s="286"/>
      <c r="E96" s="286"/>
      <c r="F96" s="286"/>
      <c r="G96" s="286"/>
      <c r="H96" s="286"/>
      <c r="I96" s="286"/>
      <c r="J96" s="219"/>
      <c r="K96" s="133"/>
    </row>
    <row r="97" spans="1:11" ht="42.75" x14ac:dyDescent="0.25">
      <c r="A97" s="120" t="s">
        <v>472</v>
      </c>
      <c r="B97" s="113" t="s">
        <v>225</v>
      </c>
      <c r="C97" s="127">
        <f>'PLANILHA ORÇAMENTARIA'!J207/8/2</f>
        <v>3168.15</v>
      </c>
      <c r="D97" s="137"/>
      <c r="E97" s="137"/>
      <c r="F97" s="137"/>
      <c r="G97" s="127">
        <f>'PLANILHA ORÇAMENTARIA'!J207/8/3</f>
        <v>2112.1</v>
      </c>
      <c r="H97" s="127">
        <f>'PLANILHA ORÇAMENTARIA'!J207/8/2</f>
        <v>3168.15</v>
      </c>
      <c r="I97" s="211">
        <f>'PLANILHA ORÇAMENTARIA'!J207/8</f>
        <v>6336.3</v>
      </c>
      <c r="J97" s="211">
        <f>'PLANILHA ORÇAMENTARIA'!J207/8</f>
        <v>6336.3</v>
      </c>
      <c r="K97" s="133"/>
    </row>
    <row r="98" spans="1:11" ht="28.5" x14ac:dyDescent="0.25">
      <c r="A98" s="120" t="s">
        <v>473</v>
      </c>
      <c r="B98" s="113" t="s">
        <v>313</v>
      </c>
      <c r="C98" s="127">
        <f>'PLANILHA ORÇAMENTARIA'!J208/8/2</f>
        <v>3445.8</v>
      </c>
      <c r="D98" s="137"/>
      <c r="E98" s="137"/>
      <c r="F98" s="137"/>
      <c r="G98" s="127">
        <f>'PLANILHA ORÇAMENTARIA'!J208/8/3</f>
        <v>2297.2000000000003</v>
      </c>
      <c r="H98" s="127">
        <f>'PLANILHA ORÇAMENTARIA'!J208/8/2</f>
        <v>3445.8</v>
      </c>
      <c r="I98" s="211">
        <f>'PLANILHA ORÇAMENTARIA'!J208/8</f>
        <v>6891.6</v>
      </c>
      <c r="J98" s="211">
        <f>'PLANILHA ORÇAMENTARIA'!J208/8</f>
        <v>6891.6</v>
      </c>
      <c r="K98" s="133"/>
    </row>
    <row r="99" spans="1:11" x14ac:dyDescent="0.25">
      <c r="A99" s="120" t="s">
        <v>474</v>
      </c>
      <c r="B99" s="121" t="s">
        <v>314</v>
      </c>
      <c r="C99" s="127">
        <f>'PLANILHA ORÇAMENTARIA'!J209/8/2</f>
        <v>6890.4</v>
      </c>
      <c r="D99" s="137"/>
      <c r="E99" s="137"/>
      <c r="F99" s="137"/>
      <c r="G99" s="127">
        <f>'PLANILHA ORÇAMENTARIA'!J209/8/3</f>
        <v>4593.5999999999995</v>
      </c>
      <c r="H99" s="127">
        <f>'PLANILHA ORÇAMENTARIA'!J209/8/2</f>
        <v>6890.4</v>
      </c>
      <c r="I99" s="211">
        <f>'PLANILHA ORÇAMENTARIA'!J209/8</f>
        <v>13780.8</v>
      </c>
      <c r="J99" s="211">
        <f>'PLANILHA ORÇAMENTARIA'!J209/8</f>
        <v>13780.8</v>
      </c>
      <c r="K99" s="133"/>
    </row>
    <row r="100" spans="1:11" x14ac:dyDescent="0.25">
      <c r="A100" s="120" t="s">
        <v>475</v>
      </c>
      <c r="B100" s="15" t="s">
        <v>315</v>
      </c>
      <c r="C100" s="127">
        <f>'PLANILHA ORÇAMENTARIA'!J210/8/2</f>
        <v>4965.6000000000004</v>
      </c>
      <c r="D100" s="137"/>
      <c r="E100" s="137"/>
      <c r="F100" s="137"/>
      <c r="G100" s="127">
        <f>'PLANILHA ORÇAMENTARIA'!J210/8/3</f>
        <v>3310.4</v>
      </c>
      <c r="H100" s="127">
        <f>'PLANILHA ORÇAMENTARIA'!J210/8/2</f>
        <v>4965.6000000000004</v>
      </c>
      <c r="I100" s="211">
        <f>'PLANILHA ORÇAMENTARIA'!J210/8</f>
        <v>9931.2000000000007</v>
      </c>
      <c r="J100" s="211">
        <f>'PLANILHA ORÇAMENTARIA'!J210/8</f>
        <v>9931.2000000000007</v>
      </c>
      <c r="K100" s="133"/>
    </row>
    <row r="101" spans="1:11" x14ac:dyDescent="0.25">
      <c r="A101" s="191" t="s">
        <v>550</v>
      </c>
      <c r="B101" s="15" t="s">
        <v>334</v>
      </c>
      <c r="C101" s="127">
        <f>'PLANILHA ORÇAMENTARIA'!J213/3</f>
        <v>3484.7999999999997</v>
      </c>
      <c r="D101" s="137"/>
      <c r="E101" s="137"/>
      <c r="F101" s="137"/>
      <c r="G101" s="127"/>
      <c r="H101" s="228"/>
      <c r="I101" s="211"/>
      <c r="J101" s="127"/>
      <c r="K101" s="133"/>
    </row>
    <row r="102" spans="1:11" x14ac:dyDescent="0.25">
      <c r="A102" s="191" t="s">
        <v>551</v>
      </c>
      <c r="B102" s="15" t="s">
        <v>340</v>
      </c>
      <c r="C102" s="127">
        <f>'PLANILHA ORÇAMENTARIA'!J212/3</f>
        <v>5695.2</v>
      </c>
      <c r="D102" s="137"/>
      <c r="E102" s="137"/>
      <c r="F102" s="137"/>
      <c r="G102" s="127"/>
      <c r="H102" s="228"/>
      <c r="I102" s="211"/>
      <c r="J102" s="127"/>
      <c r="K102" s="133"/>
    </row>
    <row r="103" spans="1:11" x14ac:dyDescent="0.25">
      <c r="A103" s="108">
        <v>10</v>
      </c>
      <c r="B103" s="283" t="s">
        <v>126</v>
      </c>
      <c r="C103" s="283"/>
      <c r="D103" s="283"/>
      <c r="E103" s="283"/>
      <c r="F103" s="283"/>
      <c r="G103" s="283"/>
      <c r="H103" s="283"/>
      <c r="I103" s="284"/>
      <c r="J103" s="190"/>
      <c r="K103" s="133"/>
    </row>
    <row r="104" spans="1:11" x14ac:dyDescent="0.25">
      <c r="A104" s="95" t="s">
        <v>127</v>
      </c>
      <c r="B104" s="15" t="s">
        <v>382</v>
      </c>
      <c r="C104" s="47">
        <v>175</v>
      </c>
      <c r="D104" s="47">
        <v>175</v>
      </c>
      <c r="E104" s="47">
        <v>175</v>
      </c>
      <c r="F104" s="47">
        <v>175</v>
      </c>
      <c r="G104" s="47"/>
      <c r="H104" s="134"/>
      <c r="I104" s="216"/>
      <c r="J104" s="47"/>
      <c r="K104" s="133"/>
    </row>
    <row r="105" spans="1:11" x14ac:dyDescent="0.25">
      <c r="A105" s="108">
        <v>11</v>
      </c>
      <c r="B105" s="283" t="s">
        <v>140</v>
      </c>
      <c r="C105" s="283"/>
      <c r="D105" s="283"/>
      <c r="E105" s="283"/>
      <c r="F105" s="283"/>
      <c r="G105" s="283"/>
      <c r="H105" s="283"/>
      <c r="I105" s="284"/>
      <c r="J105" s="190"/>
      <c r="K105" s="133"/>
    </row>
    <row r="106" spans="1:11" x14ac:dyDescent="0.25">
      <c r="A106" s="95" t="s">
        <v>139</v>
      </c>
      <c r="B106" s="15" t="s">
        <v>497</v>
      </c>
      <c r="C106" s="137">
        <f>SUM('PLANILHA ORÇAMENTARIA'!J201)</f>
        <v>2039.53</v>
      </c>
      <c r="D106" s="47"/>
      <c r="E106" s="47"/>
      <c r="F106" s="47"/>
      <c r="G106" s="47"/>
      <c r="H106" s="134"/>
      <c r="I106" s="216"/>
      <c r="J106" s="47"/>
      <c r="K106" s="133"/>
    </row>
    <row r="107" spans="1:11" x14ac:dyDescent="0.25">
      <c r="A107" s="108">
        <v>12</v>
      </c>
      <c r="B107" s="283" t="s">
        <v>478</v>
      </c>
      <c r="C107" s="283"/>
      <c r="D107" s="283"/>
      <c r="E107" s="283"/>
      <c r="F107" s="283"/>
      <c r="G107" s="283"/>
      <c r="H107" s="283"/>
      <c r="I107" s="284"/>
      <c r="J107" s="190"/>
      <c r="K107" s="133"/>
    </row>
    <row r="108" spans="1:11" x14ac:dyDescent="0.25">
      <c r="A108" s="95" t="s">
        <v>220</v>
      </c>
      <c r="B108" s="15" t="s">
        <v>383</v>
      </c>
      <c r="C108" s="137">
        <v>515.62</v>
      </c>
      <c r="D108" s="47">
        <v>515.62</v>
      </c>
      <c r="E108" s="47">
        <v>515.63</v>
      </c>
      <c r="F108" s="47">
        <v>515.63</v>
      </c>
      <c r="G108" s="47"/>
      <c r="H108" s="134"/>
      <c r="I108" s="216"/>
      <c r="J108" s="47"/>
      <c r="K108" s="133"/>
    </row>
    <row r="109" spans="1:11" x14ac:dyDescent="0.25">
      <c r="A109" s="289"/>
      <c r="B109" s="289"/>
      <c r="C109" s="289"/>
      <c r="D109" s="289"/>
      <c r="E109" s="289"/>
      <c r="F109" s="289"/>
      <c r="G109" s="289"/>
      <c r="H109" s="289"/>
      <c r="I109" s="290"/>
      <c r="J109" s="191"/>
      <c r="K109" s="133"/>
    </row>
    <row r="110" spans="1:11" x14ac:dyDescent="0.25">
      <c r="A110" s="16">
        <v>13</v>
      </c>
      <c r="B110" s="48" t="s">
        <v>124</v>
      </c>
      <c r="C110" s="229">
        <f t="shared" ref="C110:J110" si="0">SUM(C8:C14,C16:C22,C24:C26,C28:C33,C35,C37:C39,C41:C48,C50:C56,C58:C61,C63:C66,C68:C70,C72:C76,C78,C80:C83,C85:C86,C88:C91,C93:C95,C97:C102,C104,C106,C108)</f>
        <v>88521.150000000009</v>
      </c>
      <c r="D110" s="229">
        <f t="shared" si="0"/>
        <v>72490.259999999995</v>
      </c>
      <c r="E110" s="229">
        <f t="shared" si="0"/>
        <v>279173.55000000005</v>
      </c>
      <c r="F110" s="229">
        <f t="shared" si="0"/>
        <v>156628.66999999993</v>
      </c>
      <c r="G110" s="229">
        <f t="shared" si="0"/>
        <v>58179.039999999994</v>
      </c>
      <c r="H110" s="229">
        <f t="shared" si="0"/>
        <v>58285.860000000008</v>
      </c>
      <c r="I110" s="232">
        <f t="shared" si="0"/>
        <v>43885.240000000005</v>
      </c>
      <c r="J110" s="232">
        <f t="shared" si="0"/>
        <v>43885.25</v>
      </c>
      <c r="K110" s="133"/>
    </row>
    <row r="111" spans="1:11" x14ac:dyDescent="0.25">
      <c r="A111" s="289"/>
      <c r="B111" s="289"/>
      <c r="C111" s="289"/>
      <c r="D111" s="289"/>
      <c r="E111" s="289"/>
      <c r="F111" s="289"/>
      <c r="G111" s="289"/>
      <c r="H111" s="289"/>
      <c r="I111" s="290"/>
      <c r="J111" s="191"/>
      <c r="K111" s="133"/>
    </row>
    <row r="112" spans="1:11" ht="15.75" x14ac:dyDescent="0.25">
      <c r="A112" s="110">
        <v>14</v>
      </c>
      <c r="B112" s="111" t="s">
        <v>125</v>
      </c>
      <c r="C112" s="293">
        <f>SUM(C110:J110)</f>
        <v>801049.02</v>
      </c>
      <c r="D112" s="294"/>
      <c r="E112" s="294"/>
      <c r="F112" s="294"/>
      <c r="G112" s="294"/>
      <c r="H112" s="294"/>
      <c r="I112" s="294"/>
      <c r="J112" s="295"/>
      <c r="K112" s="133"/>
    </row>
    <row r="113" spans="1:11" x14ac:dyDescent="0.25">
      <c r="A113" s="287"/>
      <c r="B113" s="287"/>
      <c r="C113" s="287"/>
      <c r="D113" s="287"/>
      <c r="E113" s="287"/>
      <c r="F113" s="287"/>
      <c r="G113" s="287"/>
      <c r="H113" s="287"/>
      <c r="I113" s="288"/>
      <c r="J113" s="209"/>
      <c r="K113" s="109"/>
    </row>
    <row r="114" spans="1:11" x14ac:dyDescent="0.25">
      <c r="A114" s="109"/>
      <c r="B114" s="109"/>
      <c r="C114" s="109"/>
      <c r="D114" s="109"/>
      <c r="E114" s="109"/>
      <c r="F114" s="109"/>
      <c r="G114" s="109"/>
      <c r="H114" s="230"/>
      <c r="I114" s="109"/>
    </row>
  </sheetData>
  <mergeCells count="32">
    <mergeCell ref="A6:I6"/>
    <mergeCell ref="B7:I7"/>
    <mergeCell ref="B23:I23"/>
    <mergeCell ref="B34:I34"/>
    <mergeCell ref="B57:I57"/>
    <mergeCell ref="B15:I15"/>
    <mergeCell ref="B27:I27"/>
    <mergeCell ref="B36:I36"/>
    <mergeCell ref="B40:I40"/>
    <mergeCell ref="A3:I3"/>
    <mergeCell ref="A4:A5"/>
    <mergeCell ref="B4:B5"/>
    <mergeCell ref="A1:J1"/>
    <mergeCell ref="A2:J2"/>
    <mergeCell ref="C4:J4"/>
    <mergeCell ref="B79:I79"/>
    <mergeCell ref="A113:I113"/>
    <mergeCell ref="B103:I103"/>
    <mergeCell ref="B105:I105"/>
    <mergeCell ref="B107:I107"/>
    <mergeCell ref="B84:I84"/>
    <mergeCell ref="B92:I92"/>
    <mergeCell ref="A109:I109"/>
    <mergeCell ref="A111:I111"/>
    <mergeCell ref="B87:I87"/>
    <mergeCell ref="B96:I96"/>
    <mergeCell ref="C112:J112"/>
    <mergeCell ref="B67:I67"/>
    <mergeCell ref="B77:I77"/>
    <mergeCell ref="B49:I49"/>
    <mergeCell ref="B62:I62"/>
    <mergeCell ref="B71:I71"/>
  </mergeCells>
  <phoneticPr fontId="10" type="noConversion"/>
  <pageMargins left="0.511811024" right="0.511811024" top="0.78740157499999996" bottom="0.78740157499999996" header="0.31496062000000002" footer="0.31496062000000002"/>
  <pageSetup paperSize="9" scale="8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C7E24-8DF5-402F-B3DB-3BE3D7DA9DD5}">
  <dimension ref="A1:C27"/>
  <sheetViews>
    <sheetView workbookViewId="0">
      <selection activeCell="A26" sqref="A26:C26"/>
    </sheetView>
  </sheetViews>
  <sheetFormatPr defaultRowHeight="15" x14ac:dyDescent="0.25"/>
  <cols>
    <col min="1" max="1" width="27.7109375" customWidth="1"/>
    <col min="2" max="2" width="28" customWidth="1"/>
    <col min="3" max="3" width="24.7109375" customWidth="1"/>
    <col min="6" max="6" width="11" bestFit="1" customWidth="1"/>
  </cols>
  <sheetData>
    <row r="1" spans="1:3" ht="23.25" x14ac:dyDescent="0.25">
      <c r="A1" s="310"/>
      <c r="B1" s="311"/>
      <c r="C1" s="312"/>
    </row>
    <row r="2" spans="1:3" ht="18" x14ac:dyDescent="0.25">
      <c r="A2" s="315"/>
      <c r="B2" s="316"/>
      <c r="C2" s="317"/>
    </row>
    <row r="3" spans="1:3" x14ac:dyDescent="0.25">
      <c r="A3" s="314"/>
      <c r="B3" s="314"/>
      <c r="C3" s="314"/>
    </row>
    <row r="4" spans="1:3" x14ac:dyDescent="0.25">
      <c r="A4" s="8" t="s">
        <v>11</v>
      </c>
      <c r="B4" s="8" t="s">
        <v>3</v>
      </c>
      <c r="C4" s="9" t="s">
        <v>12</v>
      </c>
    </row>
    <row r="5" spans="1:3" x14ac:dyDescent="0.25">
      <c r="A5" s="314"/>
      <c r="B5" s="314"/>
      <c r="C5" s="314"/>
    </row>
    <row r="6" spans="1:3" x14ac:dyDescent="0.25">
      <c r="A6" s="10">
        <v>1</v>
      </c>
      <c r="B6" s="11" t="s">
        <v>13</v>
      </c>
      <c r="C6" s="12">
        <v>3</v>
      </c>
    </row>
    <row r="7" spans="1:3" x14ac:dyDescent="0.25">
      <c r="A7" s="314" t="s">
        <v>14</v>
      </c>
      <c r="B7" s="314" t="s">
        <v>14</v>
      </c>
      <c r="C7" s="314" t="s">
        <v>14</v>
      </c>
    </row>
    <row r="8" spans="1:3" x14ac:dyDescent="0.25">
      <c r="A8" s="10">
        <v>2</v>
      </c>
      <c r="B8" s="11" t="s">
        <v>15</v>
      </c>
      <c r="C8" s="12">
        <f>SUM(C9:C11)</f>
        <v>7.65</v>
      </c>
    </row>
    <row r="9" spans="1:3" x14ac:dyDescent="0.25">
      <c r="A9" s="9" t="s">
        <v>16</v>
      </c>
      <c r="B9" s="13" t="s">
        <v>17</v>
      </c>
      <c r="C9" s="14">
        <v>4</v>
      </c>
    </row>
    <row r="10" spans="1:3" x14ac:dyDescent="0.25">
      <c r="A10" s="9" t="s">
        <v>18</v>
      </c>
      <c r="B10" s="15" t="s">
        <v>19</v>
      </c>
      <c r="C10" s="14">
        <v>0.65</v>
      </c>
    </row>
    <row r="11" spans="1:3" x14ac:dyDescent="0.25">
      <c r="A11" s="9" t="s">
        <v>20</v>
      </c>
      <c r="B11" s="15" t="s">
        <v>21</v>
      </c>
      <c r="C11" s="14">
        <v>3</v>
      </c>
    </row>
    <row r="12" spans="1:3" x14ac:dyDescent="0.25">
      <c r="A12" s="314"/>
      <c r="B12" s="314"/>
      <c r="C12" s="314"/>
    </row>
    <row r="13" spans="1:3" x14ac:dyDescent="0.25">
      <c r="A13" s="10">
        <v>3</v>
      </c>
      <c r="B13" s="11" t="s">
        <v>22</v>
      </c>
      <c r="C13" s="12">
        <f>SUM(C14:C16)</f>
        <v>2.5150000000000001</v>
      </c>
    </row>
    <row r="14" spans="1:3" x14ac:dyDescent="0.25">
      <c r="A14" s="9" t="s">
        <v>23</v>
      </c>
      <c r="B14" s="15" t="s">
        <v>24</v>
      </c>
      <c r="C14" s="14">
        <v>0.8</v>
      </c>
    </row>
    <row r="15" spans="1:3" x14ac:dyDescent="0.25">
      <c r="A15" s="9" t="s">
        <v>25</v>
      </c>
      <c r="B15" s="15" t="s">
        <v>26</v>
      </c>
      <c r="C15" s="14">
        <v>0.91500000000000004</v>
      </c>
    </row>
    <row r="16" spans="1:3" x14ac:dyDescent="0.25">
      <c r="A16" s="9" t="s">
        <v>25</v>
      </c>
      <c r="B16" s="15" t="s">
        <v>27</v>
      </c>
      <c r="C16" s="14">
        <v>0.8</v>
      </c>
    </row>
    <row r="17" spans="1:3" x14ac:dyDescent="0.25">
      <c r="A17" s="314"/>
      <c r="B17" s="314"/>
      <c r="C17" s="314"/>
    </row>
    <row r="18" spans="1:3" x14ac:dyDescent="0.25">
      <c r="A18" s="10">
        <v>4</v>
      </c>
      <c r="B18" s="11" t="s">
        <v>28</v>
      </c>
      <c r="C18" s="12">
        <v>1.3</v>
      </c>
    </row>
    <row r="19" spans="1:3" x14ac:dyDescent="0.25">
      <c r="A19" s="314"/>
      <c r="B19" s="314"/>
      <c r="C19" s="314"/>
    </row>
    <row r="20" spans="1:3" x14ac:dyDescent="0.25">
      <c r="A20" s="10">
        <v>5</v>
      </c>
      <c r="B20" s="11" t="s">
        <v>29</v>
      </c>
      <c r="C20" s="12">
        <v>8</v>
      </c>
    </row>
    <row r="21" spans="1:3" x14ac:dyDescent="0.25">
      <c r="A21" s="314"/>
      <c r="B21" s="314"/>
      <c r="C21" s="314"/>
    </row>
    <row r="22" spans="1:3" x14ac:dyDescent="0.25">
      <c r="A22" s="16">
        <v>6</v>
      </c>
      <c r="B22" s="11" t="s">
        <v>30</v>
      </c>
      <c r="C22" s="12">
        <f>ROUND((((1+(C6%+C15%+C14%+C16%))*(1+C18%)*(1+C20%)/(1-C8%))-(1))*100,2)</f>
        <v>25</v>
      </c>
    </row>
    <row r="23" spans="1:3" x14ac:dyDescent="0.25">
      <c r="A23" s="314"/>
      <c r="B23" s="314"/>
      <c r="C23" s="314"/>
    </row>
    <row r="24" spans="1:3" x14ac:dyDescent="0.25">
      <c r="A24" s="313" t="s">
        <v>31</v>
      </c>
      <c r="B24" s="313"/>
      <c r="C24" s="313"/>
    </row>
    <row r="25" spans="1:3" x14ac:dyDescent="0.25">
      <c r="A25" s="314"/>
      <c r="B25" s="314"/>
      <c r="C25" s="314"/>
    </row>
    <row r="26" spans="1:3" x14ac:dyDescent="0.25">
      <c r="A26" s="313" t="s">
        <v>552</v>
      </c>
      <c r="B26" s="313"/>
      <c r="C26" s="313"/>
    </row>
    <row r="27" spans="1:3" x14ac:dyDescent="0.25">
      <c r="A27" s="314"/>
      <c r="B27" s="314"/>
      <c r="C27" s="314"/>
    </row>
  </sheetData>
  <mergeCells count="14">
    <mergeCell ref="A1:C1"/>
    <mergeCell ref="A26:C26"/>
    <mergeCell ref="A27:C27"/>
    <mergeCell ref="A17:C17"/>
    <mergeCell ref="A19:C19"/>
    <mergeCell ref="A21:C21"/>
    <mergeCell ref="A23:C23"/>
    <mergeCell ref="A24:C24"/>
    <mergeCell ref="A25:C25"/>
    <mergeCell ref="A12:C12"/>
    <mergeCell ref="A2:C2"/>
    <mergeCell ref="A3:C3"/>
    <mergeCell ref="A5:C5"/>
    <mergeCell ref="A7:C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1D5E3-C773-4CA8-BE0A-5EEE03721CD8}">
  <dimension ref="A1:C46"/>
  <sheetViews>
    <sheetView workbookViewId="0">
      <selection activeCell="F25" sqref="F25"/>
    </sheetView>
  </sheetViews>
  <sheetFormatPr defaultRowHeight="15" x14ac:dyDescent="0.25"/>
  <cols>
    <col min="2" max="2" width="39.140625" bestFit="1" customWidth="1"/>
    <col min="3" max="3" width="26.7109375" customWidth="1"/>
  </cols>
  <sheetData>
    <row r="1" spans="1:3" x14ac:dyDescent="0.25">
      <c r="A1" s="8" t="s">
        <v>11</v>
      </c>
      <c r="B1" s="8" t="s">
        <v>3</v>
      </c>
      <c r="C1" s="95" t="s">
        <v>384</v>
      </c>
    </row>
    <row r="2" spans="1:3" x14ac:dyDescent="0.25">
      <c r="A2" s="314"/>
      <c r="B2" s="314"/>
      <c r="C2" s="314"/>
    </row>
    <row r="3" spans="1:3" x14ac:dyDescent="0.25">
      <c r="A3" s="114">
        <v>1</v>
      </c>
      <c r="B3" s="118" t="s">
        <v>385</v>
      </c>
      <c r="C3" s="119"/>
    </row>
    <row r="4" spans="1:3" x14ac:dyDescent="0.25">
      <c r="A4" s="10" t="s">
        <v>47</v>
      </c>
      <c r="B4" s="13" t="s">
        <v>386</v>
      </c>
      <c r="C4" s="12">
        <v>20</v>
      </c>
    </row>
    <row r="5" spans="1:3" x14ac:dyDescent="0.25">
      <c r="A5" s="10" t="s">
        <v>52</v>
      </c>
      <c r="B5" s="13" t="s">
        <v>387</v>
      </c>
      <c r="C5" s="12">
        <v>1.5</v>
      </c>
    </row>
    <row r="6" spans="1:3" x14ac:dyDescent="0.25">
      <c r="A6" s="10" t="s">
        <v>55</v>
      </c>
      <c r="B6" s="13" t="s">
        <v>388</v>
      </c>
      <c r="C6" s="12">
        <v>1</v>
      </c>
    </row>
    <row r="7" spans="1:3" x14ac:dyDescent="0.25">
      <c r="A7" s="10" t="s">
        <v>75</v>
      </c>
      <c r="B7" s="13" t="s">
        <v>389</v>
      </c>
      <c r="C7" s="12">
        <v>0.2</v>
      </c>
    </row>
    <row r="8" spans="1:3" x14ac:dyDescent="0.25">
      <c r="A8" s="10" t="s">
        <v>59</v>
      </c>
      <c r="B8" s="13" t="s">
        <v>390</v>
      </c>
      <c r="C8" s="12">
        <v>0.6</v>
      </c>
    </row>
    <row r="9" spans="1:3" x14ac:dyDescent="0.25">
      <c r="A9" s="10" t="s">
        <v>61</v>
      </c>
      <c r="B9" s="13" t="s">
        <v>391</v>
      </c>
      <c r="C9" s="12">
        <v>2.5</v>
      </c>
    </row>
    <row r="10" spans="1:3" x14ac:dyDescent="0.25">
      <c r="A10" s="10" t="s">
        <v>68</v>
      </c>
      <c r="B10" s="13" t="s">
        <v>392</v>
      </c>
      <c r="C10" s="12">
        <v>3</v>
      </c>
    </row>
    <row r="11" spans="1:3" x14ac:dyDescent="0.25">
      <c r="A11" s="10" t="s">
        <v>74</v>
      </c>
      <c r="B11" s="13" t="s">
        <v>393</v>
      </c>
      <c r="C11" s="12">
        <v>8</v>
      </c>
    </row>
    <row r="12" spans="1:3" x14ac:dyDescent="0.25">
      <c r="A12" s="10" t="s">
        <v>78</v>
      </c>
      <c r="B12" s="13" t="s">
        <v>394</v>
      </c>
      <c r="C12" s="12">
        <v>1.2</v>
      </c>
    </row>
    <row r="13" spans="1:3" x14ac:dyDescent="0.25">
      <c r="A13" s="114"/>
      <c r="B13" s="115" t="s">
        <v>395</v>
      </c>
      <c r="C13" s="117">
        <f>SUM(C4:C12)</f>
        <v>38</v>
      </c>
    </row>
    <row r="14" spans="1:3" x14ac:dyDescent="0.25">
      <c r="A14" s="318"/>
      <c r="B14" s="319"/>
      <c r="C14" s="320"/>
    </row>
    <row r="15" spans="1:3" x14ac:dyDescent="0.25">
      <c r="A15" s="114">
        <v>2</v>
      </c>
      <c r="B15" s="118" t="s">
        <v>396</v>
      </c>
      <c r="C15" s="119"/>
    </row>
    <row r="16" spans="1:3" x14ac:dyDescent="0.25">
      <c r="A16" s="16" t="s">
        <v>16</v>
      </c>
      <c r="B16" s="13" t="s">
        <v>397</v>
      </c>
      <c r="C16" s="12">
        <v>17.760000000000002</v>
      </c>
    </row>
    <row r="17" spans="1:3" x14ac:dyDescent="0.25">
      <c r="A17" s="16" t="s">
        <v>18</v>
      </c>
      <c r="B17" s="15" t="s">
        <v>398</v>
      </c>
      <c r="C17" s="12">
        <v>3.68</v>
      </c>
    </row>
    <row r="18" spans="1:3" x14ac:dyDescent="0.25">
      <c r="A18" s="16" t="s">
        <v>20</v>
      </c>
      <c r="B18" s="15" t="s">
        <v>399</v>
      </c>
      <c r="C18" s="12">
        <v>0.87</v>
      </c>
    </row>
    <row r="19" spans="1:3" x14ac:dyDescent="0.25">
      <c r="A19" s="16" t="s">
        <v>120</v>
      </c>
      <c r="B19" s="15" t="s">
        <v>400</v>
      </c>
      <c r="C19" s="12">
        <v>10.81</v>
      </c>
    </row>
    <row r="20" spans="1:3" x14ac:dyDescent="0.25">
      <c r="A20" s="16" t="s">
        <v>121</v>
      </c>
      <c r="B20" s="15" t="s">
        <v>401</v>
      </c>
      <c r="C20" s="12">
        <v>7.0000000000000007E-2</v>
      </c>
    </row>
    <row r="21" spans="1:3" x14ac:dyDescent="0.25">
      <c r="A21" s="16" t="s">
        <v>402</v>
      </c>
      <c r="B21" s="15" t="s">
        <v>403</v>
      </c>
      <c r="C21" s="12">
        <v>0.72</v>
      </c>
    </row>
    <row r="22" spans="1:3" x14ac:dyDescent="0.25">
      <c r="A22" s="16" t="s">
        <v>404</v>
      </c>
      <c r="B22" s="15" t="s">
        <v>405</v>
      </c>
      <c r="C22" s="12">
        <v>1.05</v>
      </c>
    </row>
    <row r="23" spans="1:3" x14ac:dyDescent="0.25">
      <c r="A23" s="16" t="s">
        <v>406</v>
      </c>
      <c r="B23" s="15" t="s">
        <v>407</v>
      </c>
      <c r="C23" s="12">
        <v>0.11</v>
      </c>
    </row>
    <row r="24" spans="1:3" x14ac:dyDescent="0.25">
      <c r="A24" s="16" t="s">
        <v>408</v>
      </c>
      <c r="B24" s="15" t="s">
        <v>409</v>
      </c>
      <c r="C24" s="12">
        <v>9.7200000000000006</v>
      </c>
    </row>
    <row r="25" spans="1:3" x14ac:dyDescent="0.25">
      <c r="A25" s="16" t="s">
        <v>410</v>
      </c>
      <c r="B25" s="15" t="s">
        <v>411</v>
      </c>
      <c r="C25" s="12">
        <v>0.03</v>
      </c>
    </row>
    <row r="26" spans="1:3" x14ac:dyDescent="0.25">
      <c r="A26" s="114"/>
      <c r="B26" s="115" t="s">
        <v>412</v>
      </c>
      <c r="C26" s="116">
        <f>SUM(C16:C25)</f>
        <v>44.82</v>
      </c>
    </row>
    <row r="27" spans="1:3" x14ac:dyDescent="0.25">
      <c r="A27" s="290"/>
      <c r="B27" s="296"/>
      <c r="C27" s="321"/>
    </row>
    <row r="28" spans="1:3" x14ac:dyDescent="0.25">
      <c r="A28" s="114">
        <v>3</v>
      </c>
      <c r="B28" s="118" t="s">
        <v>413</v>
      </c>
      <c r="C28" s="119"/>
    </row>
    <row r="29" spans="1:3" x14ac:dyDescent="0.25">
      <c r="A29" s="16" t="s">
        <v>23</v>
      </c>
      <c r="B29" s="15" t="s">
        <v>414</v>
      </c>
      <c r="C29" s="112">
        <v>5.83</v>
      </c>
    </row>
    <row r="30" spans="1:3" x14ac:dyDescent="0.25">
      <c r="A30" s="16" t="s">
        <v>25</v>
      </c>
      <c r="B30" s="15" t="s">
        <v>415</v>
      </c>
      <c r="C30" s="112">
        <v>0.14000000000000001</v>
      </c>
    </row>
    <row r="31" spans="1:3" x14ac:dyDescent="0.25">
      <c r="A31" s="16" t="s">
        <v>122</v>
      </c>
      <c r="B31" s="15" t="s">
        <v>416</v>
      </c>
      <c r="C31" s="112">
        <v>3.93</v>
      </c>
    </row>
    <row r="32" spans="1:3" x14ac:dyDescent="0.25">
      <c r="A32" s="16" t="s">
        <v>417</v>
      </c>
      <c r="B32" s="15" t="s">
        <v>418</v>
      </c>
      <c r="C32" s="112">
        <v>3.78</v>
      </c>
    </row>
    <row r="33" spans="1:3" x14ac:dyDescent="0.25">
      <c r="A33" s="16" t="s">
        <v>419</v>
      </c>
      <c r="B33" s="15" t="s">
        <v>420</v>
      </c>
      <c r="C33" s="112">
        <v>0.49</v>
      </c>
    </row>
    <row r="34" spans="1:3" x14ac:dyDescent="0.25">
      <c r="A34" s="114"/>
      <c r="B34" s="115" t="s">
        <v>421</v>
      </c>
      <c r="C34" s="116">
        <f>SUM(C29:C33)</f>
        <v>14.17</v>
      </c>
    </row>
    <row r="35" spans="1:3" x14ac:dyDescent="0.25">
      <c r="A35" s="314"/>
      <c r="B35" s="314"/>
      <c r="C35" s="314"/>
    </row>
    <row r="36" spans="1:3" x14ac:dyDescent="0.25">
      <c r="A36" s="114">
        <v>4</v>
      </c>
      <c r="B36" s="118" t="s">
        <v>422</v>
      </c>
      <c r="C36" s="119"/>
    </row>
    <row r="37" spans="1:3" x14ac:dyDescent="0.25">
      <c r="A37" s="10" t="s">
        <v>84</v>
      </c>
      <c r="B37" s="15" t="s">
        <v>423</v>
      </c>
      <c r="C37" s="12">
        <v>17.03</v>
      </c>
    </row>
    <row r="38" spans="1:3" ht="71.25" x14ac:dyDescent="0.25">
      <c r="A38" s="10" t="s">
        <v>86</v>
      </c>
      <c r="B38" s="113" t="s">
        <v>424</v>
      </c>
      <c r="C38" s="12">
        <v>0.52</v>
      </c>
    </row>
    <row r="39" spans="1:3" x14ac:dyDescent="0.25">
      <c r="A39" s="114"/>
      <c r="B39" s="115" t="s">
        <v>421</v>
      </c>
      <c r="C39" s="116">
        <f>SUM(C37:C38)</f>
        <v>17.55</v>
      </c>
    </row>
    <row r="40" spans="1:3" x14ac:dyDescent="0.25">
      <c r="A40" s="314"/>
      <c r="B40" s="314"/>
      <c r="C40" s="314"/>
    </row>
    <row r="41" spans="1:3" x14ac:dyDescent="0.25">
      <c r="A41" s="16">
        <v>5</v>
      </c>
      <c r="B41" s="11" t="s">
        <v>425</v>
      </c>
      <c r="C41" s="12">
        <f>SUM(C13,C26,C34,C39)</f>
        <v>114.53999999999999</v>
      </c>
    </row>
    <row r="42" spans="1:3" x14ac:dyDescent="0.25">
      <c r="A42" s="314"/>
      <c r="B42" s="314"/>
      <c r="C42" s="314"/>
    </row>
    <row r="43" spans="1:3" x14ac:dyDescent="0.25">
      <c r="A43" s="313" t="s">
        <v>426</v>
      </c>
      <c r="B43" s="313"/>
      <c r="C43" s="313"/>
    </row>
    <row r="44" spans="1:3" x14ac:dyDescent="0.25">
      <c r="A44" s="314"/>
      <c r="B44" s="314"/>
      <c r="C44" s="314"/>
    </row>
    <row r="45" spans="1:3" x14ac:dyDescent="0.25">
      <c r="A45" s="313" t="s">
        <v>477</v>
      </c>
      <c r="B45" s="313"/>
      <c r="C45" s="313"/>
    </row>
    <row r="46" spans="1:3" x14ac:dyDescent="0.25">
      <c r="A46" s="314"/>
      <c r="B46" s="314"/>
      <c r="C46" s="314"/>
    </row>
  </sheetData>
  <mergeCells count="10">
    <mergeCell ref="A2:C2"/>
    <mergeCell ref="A14:C14"/>
    <mergeCell ref="A45:C45"/>
    <mergeCell ref="A46:C46"/>
    <mergeCell ref="A27:C27"/>
    <mergeCell ref="A35:C35"/>
    <mergeCell ref="A40:C40"/>
    <mergeCell ref="A42:C42"/>
    <mergeCell ref="A43:C43"/>
    <mergeCell ref="A44:C4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0CA3C-B36B-448D-BBD0-999ABF7CAFE0}">
  <dimension ref="A1:D187"/>
  <sheetViews>
    <sheetView workbookViewId="0">
      <selection activeCell="E39" sqref="E39"/>
    </sheetView>
  </sheetViews>
  <sheetFormatPr defaultRowHeight="15" x14ac:dyDescent="0.25"/>
  <cols>
    <col min="1" max="1" width="43" bestFit="1" customWidth="1"/>
    <col min="2" max="2" width="18.42578125" customWidth="1"/>
    <col min="3" max="3" width="29.140625" bestFit="1" customWidth="1"/>
    <col min="4" max="4" width="34.85546875" bestFit="1" customWidth="1"/>
  </cols>
  <sheetData>
    <row r="1" spans="1:4" x14ac:dyDescent="0.25">
      <c r="A1" s="60" t="s">
        <v>142</v>
      </c>
      <c r="B1" s="60" t="s">
        <v>143</v>
      </c>
      <c r="C1" s="60" t="s">
        <v>144</v>
      </c>
      <c r="D1" s="60" t="s">
        <v>145</v>
      </c>
    </row>
    <row r="2" spans="1:4" x14ac:dyDescent="0.25">
      <c r="A2" s="290"/>
      <c r="B2" s="296"/>
      <c r="C2" s="296"/>
      <c r="D2" s="321"/>
    </row>
    <row r="3" spans="1:4" x14ac:dyDescent="0.25">
      <c r="A3" s="15" t="s">
        <v>146</v>
      </c>
      <c r="B3" s="50" t="s">
        <v>147</v>
      </c>
      <c r="C3" s="15"/>
      <c r="D3" s="15" t="s">
        <v>148</v>
      </c>
    </row>
    <row r="4" spans="1:4" x14ac:dyDescent="0.25">
      <c r="A4" s="15" t="s">
        <v>149</v>
      </c>
      <c r="B4" s="50" t="s">
        <v>150</v>
      </c>
      <c r="C4" s="15"/>
      <c r="D4" s="15" t="s">
        <v>151</v>
      </c>
    </row>
    <row r="5" spans="1:4" x14ac:dyDescent="0.25">
      <c r="A5" s="15" t="s">
        <v>152</v>
      </c>
      <c r="B5" s="50" t="s">
        <v>153</v>
      </c>
      <c r="C5" s="15"/>
      <c r="D5" s="15" t="s">
        <v>154</v>
      </c>
    </row>
    <row r="6" spans="1:4" x14ac:dyDescent="0.25">
      <c r="A6" s="15" t="s">
        <v>155</v>
      </c>
      <c r="B6" s="50" t="s">
        <v>156</v>
      </c>
      <c r="C6" s="15"/>
      <c r="D6" s="15" t="s">
        <v>157</v>
      </c>
    </row>
    <row r="7" spans="1:4" x14ac:dyDescent="0.25">
      <c r="A7" s="15" t="s">
        <v>158</v>
      </c>
      <c r="B7" s="50" t="s">
        <v>159</v>
      </c>
      <c r="C7" s="15"/>
      <c r="D7" s="15"/>
    </row>
    <row r="8" spans="1:4" x14ac:dyDescent="0.25">
      <c r="A8" s="15" t="s">
        <v>160</v>
      </c>
      <c r="B8" s="50" t="s">
        <v>161</v>
      </c>
      <c r="C8" s="15"/>
      <c r="D8" s="15"/>
    </row>
    <row r="9" spans="1:4" x14ac:dyDescent="0.25">
      <c r="A9" s="15" t="s">
        <v>162</v>
      </c>
      <c r="B9" s="50" t="s">
        <v>163</v>
      </c>
      <c r="C9" s="15"/>
      <c r="D9" s="15"/>
    </row>
    <row r="10" spans="1:4" x14ac:dyDescent="0.25">
      <c r="A10" s="15" t="s">
        <v>164</v>
      </c>
      <c r="B10" s="50" t="s">
        <v>165</v>
      </c>
      <c r="C10" s="61" t="s">
        <v>166</v>
      </c>
      <c r="D10" s="15" t="s">
        <v>167</v>
      </c>
    </row>
    <row r="11" spans="1:4" x14ac:dyDescent="0.25">
      <c r="A11" s="15" t="s">
        <v>168</v>
      </c>
      <c r="B11" s="50" t="s">
        <v>169</v>
      </c>
      <c r="C11" s="15"/>
      <c r="D11" s="15" t="s">
        <v>170</v>
      </c>
    </row>
    <row r="12" spans="1:4" x14ac:dyDescent="0.25">
      <c r="A12" s="15" t="s">
        <v>171</v>
      </c>
      <c r="B12" s="50" t="s">
        <v>172</v>
      </c>
      <c r="C12" s="15"/>
      <c r="D12" s="15"/>
    </row>
    <row r="13" spans="1:4" x14ac:dyDescent="0.25">
      <c r="A13" s="15" t="s">
        <v>173</v>
      </c>
      <c r="B13" s="50" t="s">
        <v>174</v>
      </c>
      <c r="C13" s="15"/>
      <c r="D13" s="15"/>
    </row>
    <row r="14" spans="1:4" x14ac:dyDescent="0.25">
      <c r="A14" s="15" t="s">
        <v>175</v>
      </c>
      <c r="B14" s="50" t="s">
        <v>176</v>
      </c>
      <c r="C14" s="15"/>
      <c r="D14" s="15" t="s">
        <v>177</v>
      </c>
    </row>
    <row r="15" spans="1:4" x14ac:dyDescent="0.25">
      <c r="A15" s="15" t="s">
        <v>178</v>
      </c>
      <c r="B15" s="50" t="s">
        <v>179</v>
      </c>
      <c r="C15" s="61" t="s">
        <v>180</v>
      </c>
      <c r="D15" s="15" t="s">
        <v>181</v>
      </c>
    </row>
    <row r="16" spans="1:4" x14ac:dyDescent="0.25">
      <c r="A16" s="15" t="s">
        <v>182</v>
      </c>
      <c r="B16" s="50" t="s">
        <v>183</v>
      </c>
      <c r="C16" s="15"/>
      <c r="D16" s="15" t="s">
        <v>184</v>
      </c>
    </row>
    <row r="17" spans="1:4" x14ac:dyDescent="0.25">
      <c r="A17" s="15" t="s">
        <v>185</v>
      </c>
      <c r="B17" s="50"/>
      <c r="C17" s="15"/>
      <c r="D17" s="15" t="s">
        <v>186</v>
      </c>
    </row>
    <row r="18" spans="1:4" x14ac:dyDescent="0.25">
      <c r="A18" s="15" t="s">
        <v>187</v>
      </c>
      <c r="B18" s="50" t="s">
        <v>188</v>
      </c>
      <c r="C18" s="15"/>
      <c r="D18" s="15" t="s">
        <v>189</v>
      </c>
    </row>
    <row r="19" spans="1:4" x14ac:dyDescent="0.25">
      <c r="A19" s="15" t="s">
        <v>190</v>
      </c>
      <c r="B19" s="50" t="s">
        <v>191</v>
      </c>
      <c r="C19" s="15"/>
      <c r="D19" s="15" t="s">
        <v>192</v>
      </c>
    </row>
    <row r="20" spans="1:4" x14ac:dyDescent="0.25">
      <c r="A20" s="15" t="s">
        <v>193</v>
      </c>
      <c r="B20" s="50" t="s">
        <v>194</v>
      </c>
      <c r="C20" s="15"/>
      <c r="D20" s="15" t="s">
        <v>195</v>
      </c>
    </row>
    <row r="21" spans="1:4" x14ac:dyDescent="0.25">
      <c r="A21" s="15" t="s">
        <v>196</v>
      </c>
      <c r="B21" s="50" t="s">
        <v>197</v>
      </c>
      <c r="C21" s="61" t="s">
        <v>198</v>
      </c>
      <c r="D21" s="15" t="s">
        <v>199</v>
      </c>
    </row>
    <row r="22" spans="1:4" x14ac:dyDescent="0.25">
      <c r="A22" s="15" t="s">
        <v>200</v>
      </c>
      <c r="B22" s="50" t="s">
        <v>201</v>
      </c>
      <c r="C22" s="15"/>
      <c r="D22" s="15"/>
    </row>
    <row r="23" spans="1:4" x14ac:dyDescent="0.25">
      <c r="A23" s="15" t="s">
        <v>202</v>
      </c>
      <c r="B23" s="50" t="s">
        <v>203</v>
      </c>
      <c r="C23" s="15"/>
      <c r="D23" s="15" t="s">
        <v>204</v>
      </c>
    </row>
    <row r="24" spans="1:4" x14ac:dyDescent="0.25">
      <c r="A24" s="15" t="s">
        <v>205</v>
      </c>
      <c r="B24" s="50" t="s">
        <v>206</v>
      </c>
      <c r="C24" s="15"/>
      <c r="D24" s="15" t="s">
        <v>207</v>
      </c>
    </row>
    <row r="25" spans="1:4" x14ac:dyDescent="0.25">
      <c r="A25" s="15" t="s">
        <v>208</v>
      </c>
      <c r="B25" s="50" t="s">
        <v>209</v>
      </c>
      <c r="C25" s="15"/>
      <c r="D25" s="15" t="s">
        <v>210</v>
      </c>
    </row>
    <row r="26" spans="1:4" x14ac:dyDescent="0.25">
      <c r="A26" s="15" t="s">
        <v>211</v>
      </c>
      <c r="B26" s="50" t="s">
        <v>212</v>
      </c>
      <c r="C26" s="15"/>
      <c r="D26" s="15"/>
    </row>
    <row r="27" spans="1:4" x14ac:dyDescent="0.25">
      <c r="A27" s="15" t="s">
        <v>213</v>
      </c>
      <c r="B27" s="50" t="s">
        <v>214</v>
      </c>
      <c r="C27" s="15"/>
      <c r="D27" s="15" t="s">
        <v>215</v>
      </c>
    </row>
    <row r="28" spans="1:4" x14ac:dyDescent="0.25">
      <c r="A28" s="15" t="s">
        <v>216</v>
      </c>
      <c r="B28" s="50" t="s">
        <v>217</v>
      </c>
      <c r="C28" s="15"/>
      <c r="D28" s="15" t="s">
        <v>167</v>
      </c>
    </row>
    <row r="29" spans="1:4" x14ac:dyDescent="0.25">
      <c r="A29" s="15" t="s">
        <v>218</v>
      </c>
      <c r="B29" s="50" t="s">
        <v>219</v>
      </c>
      <c r="C29" s="15"/>
      <c r="D29" s="15"/>
    </row>
    <row r="30" spans="1:4" x14ac:dyDescent="0.25">
      <c r="A30" s="15" t="s">
        <v>427</v>
      </c>
      <c r="B30" s="50" t="s">
        <v>431</v>
      </c>
      <c r="C30" s="15"/>
      <c r="D30" s="15" t="s">
        <v>428</v>
      </c>
    </row>
    <row r="31" spans="1:4" x14ac:dyDescent="0.25">
      <c r="A31" s="15" t="s">
        <v>435</v>
      </c>
      <c r="B31" s="95" t="s">
        <v>432</v>
      </c>
      <c r="C31" s="15"/>
      <c r="D31" s="15" t="s">
        <v>434</v>
      </c>
    </row>
    <row r="32" spans="1:4" x14ac:dyDescent="0.25">
      <c r="A32" s="15" t="s">
        <v>429</v>
      </c>
      <c r="B32" s="50" t="s">
        <v>433</v>
      </c>
      <c r="C32" s="15"/>
      <c r="D32" s="15" t="s">
        <v>430</v>
      </c>
    </row>
    <row r="33" spans="1:4" x14ac:dyDescent="0.25">
      <c r="A33" s="21"/>
      <c r="D33" s="20"/>
    </row>
    <row r="34" spans="1:4" x14ac:dyDescent="0.25">
      <c r="A34" s="21"/>
      <c r="D34" s="20"/>
    </row>
    <row r="35" spans="1:4" x14ac:dyDescent="0.25">
      <c r="A35" s="21"/>
      <c r="D35" s="20"/>
    </row>
    <row r="36" spans="1:4" x14ac:dyDescent="0.25">
      <c r="A36" s="21"/>
      <c r="D36" s="20"/>
    </row>
    <row r="37" spans="1:4" x14ac:dyDescent="0.25">
      <c r="A37" s="21"/>
      <c r="D37" s="20"/>
    </row>
    <row r="38" spans="1:4" x14ac:dyDescent="0.25">
      <c r="A38" s="21"/>
      <c r="D38" s="20"/>
    </row>
    <row r="39" spans="1:4" x14ac:dyDescent="0.25">
      <c r="A39" s="21"/>
      <c r="D39" s="20"/>
    </row>
    <row r="40" spans="1:4" x14ac:dyDescent="0.25">
      <c r="A40" s="21"/>
      <c r="D40" s="20"/>
    </row>
    <row r="41" spans="1:4" x14ac:dyDescent="0.25">
      <c r="A41" s="21"/>
      <c r="D41" s="20"/>
    </row>
    <row r="42" spans="1:4" x14ac:dyDescent="0.25">
      <c r="A42" s="21"/>
      <c r="D42" s="20"/>
    </row>
    <row r="43" spans="1:4" x14ac:dyDescent="0.25">
      <c r="A43" s="21"/>
      <c r="D43" s="20"/>
    </row>
    <row r="44" spans="1:4" x14ac:dyDescent="0.25">
      <c r="A44" s="21"/>
      <c r="D44" s="20"/>
    </row>
    <row r="45" spans="1:4" x14ac:dyDescent="0.25">
      <c r="A45" s="21"/>
      <c r="D45" s="20"/>
    </row>
    <row r="46" spans="1:4" x14ac:dyDescent="0.25">
      <c r="A46" s="21"/>
      <c r="D46" s="20"/>
    </row>
    <row r="47" spans="1:4" x14ac:dyDescent="0.25">
      <c r="A47" s="21"/>
      <c r="D47" s="20"/>
    </row>
    <row r="48" spans="1:4" x14ac:dyDescent="0.25">
      <c r="A48" s="21"/>
      <c r="D48" s="20"/>
    </row>
    <row r="49" spans="1:4" x14ac:dyDescent="0.25">
      <c r="A49" s="21"/>
      <c r="D49" s="20"/>
    </row>
    <row r="50" spans="1:4" x14ac:dyDescent="0.25">
      <c r="A50" s="21"/>
      <c r="D50" s="20"/>
    </row>
    <row r="51" spans="1:4" x14ac:dyDescent="0.25">
      <c r="A51" s="21"/>
      <c r="D51" s="20"/>
    </row>
    <row r="52" spans="1:4" x14ac:dyDescent="0.25">
      <c r="A52" s="21"/>
      <c r="D52" s="20"/>
    </row>
    <row r="53" spans="1:4" x14ac:dyDescent="0.25">
      <c r="A53" s="21"/>
      <c r="D53" s="20"/>
    </row>
    <row r="54" spans="1:4" x14ac:dyDescent="0.25">
      <c r="A54" s="21"/>
      <c r="D54" s="20"/>
    </row>
    <row r="55" spans="1:4" x14ac:dyDescent="0.25">
      <c r="A55" s="21"/>
      <c r="D55" s="20"/>
    </row>
    <row r="56" spans="1:4" x14ac:dyDescent="0.25">
      <c r="A56" s="21"/>
      <c r="D56" s="20"/>
    </row>
    <row r="57" spans="1:4" x14ac:dyDescent="0.25">
      <c r="A57" s="21"/>
      <c r="D57" s="20"/>
    </row>
    <row r="58" spans="1:4" x14ac:dyDescent="0.25">
      <c r="A58" s="21"/>
      <c r="D58" s="20"/>
    </row>
    <row r="59" spans="1:4" x14ac:dyDescent="0.25">
      <c r="A59" s="21"/>
      <c r="D59" s="20"/>
    </row>
    <row r="60" spans="1:4" x14ac:dyDescent="0.25">
      <c r="A60" s="21"/>
      <c r="D60" s="20"/>
    </row>
    <row r="61" spans="1:4" x14ac:dyDescent="0.25">
      <c r="A61" s="21"/>
      <c r="D61" s="20"/>
    </row>
    <row r="62" spans="1:4" x14ac:dyDescent="0.25">
      <c r="A62" s="21"/>
      <c r="D62" s="20"/>
    </row>
    <row r="63" spans="1:4" x14ac:dyDescent="0.25">
      <c r="A63" s="21"/>
      <c r="D63" s="20"/>
    </row>
    <row r="64" spans="1:4" x14ac:dyDescent="0.25">
      <c r="A64" s="21"/>
      <c r="D64" s="20"/>
    </row>
    <row r="65" spans="1:4" x14ac:dyDescent="0.25">
      <c r="A65" s="21"/>
      <c r="D65" s="20"/>
    </row>
    <row r="66" spans="1:4" x14ac:dyDescent="0.25">
      <c r="A66" s="21"/>
      <c r="D66" s="20"/>
    </row>
    <row r="67" spans="1:4" x14ac:dyDescent="0.25">
      <c r="A67" s="21"/>
      <c r="D67" s="20"/>
    </row>
    <row r="68" spans="1:4" x14ac:dyDescent="0.25">
      <c r="A68" s="21"/>
      <c r="D68" s="20"/>
    </row>
    <row r="69" spans="1:4" x14ac:dyDescent="0.25">
      <c r="A69" s="21"/>
      <c r="D69" s="20"/>
    </row>
    <row r="70" spans="1:4" x14ac:dyDescent="0.25">
      <c r="A70" s="21"/>
      <c r="D70" s="20"/>
    </row>
    <row r="71" spans="1:4" x14ac:dyDescent="0.25">
      <c r="A71" s="21"/>
      <c r="D71" s="20"/>
    </row>
    <row r="72" spans="1:4" x14ac:dyDescent="0.25">
      <c r="A72" s="21"/>
      <c r="D72" s="20"/>
    </row>
    <row r="73" spans="1:4" x14ac:dyDescent="0.25">
      <c r="A73" s="21"/>
      <c r="D73" s="20"/>
    </row>
    <row r="74" spans="1:4" x14ac:dyDescent="0.25">
      <c r="A74" s="21"/>
      <c r="D74" s="20"/>
    </row>
    <row r="75" spans="1:4" x14ac:dyDescent="0.25">
      <c r="A75" s="21"/>
      <c r="D75" s="20"/>
    </row>
    <row r="76" spans="1:4" x14ac:dyDescent="0.25">
      <c r="A76" s="21"/>
      <c r="D76" s="20"/>
    </row>
    <row r="77" spans="1:4" x14ac:dyDescent="0.25">
      <c r="A77" s="21"/>
      <c r="D77" s="20"/>
    </row>
    <row r="78" spans="1:4" x14ac:dyDescent="0.25">
      <c r="A78" s="21"/>
      <c r="D78" s="20"/>
    </row>
    <row r="79" spans="1:4" x14ac:dyDescent="0.25">
      <c r="A79" s="21"/>
      <c r="D79" s="20"/>
    </row>
    <row r="80" spans="1:4" x14ac:dyDescent="0.25">
      <c r="A80" s="21"/>
      <c r="D80" s="20"/>
    </row>
    <row r="81" spans="1:4" x14ac:dyDescent="0.25">
      <c r="A81" s="21"/>
      <c r="D81" s="20"/>
    </row>
    <row r="82" spans="1:4" x14ac:dyDescent="0.25">
      <c r="A82" s="21"/>
      <c r="D82" s="20"/>
    </row>
    <row r="83" spans="1:4" x14ac:dyDescent="0.25">
      <c r="A83" s="21"/>
      <c r="D83" s="20"/>
    </row>
    <row r="84" spans="1:4" x14ac:dyDescent="0.25">
      <c r="A84" s="21"/>
      <c r="D84" s="20"/>
    </row>
    <row r="85" spans="1:4" x14ac:dyDescent="0.25">
      <c r="A85" s="21"/>
      <c r="D85" s="20"/>
    </row>
    <row r="86" spans="1:4" x14ac:dyDescent="0.25">
      <c r="A86" s="21"/>
      <c r="D86" s="20"/>
    </row>
    <row r="87" spans="1:4" x14ac:dyDescent="0.25">
      <c r="A87" s="21"/>
      <c r="D87" s="20"/>
    </row>
    <row r="88" spans="1:4" x14ac:dyDescent="0.25">
      <c r="A88" s="21"/>
      <c r="D88" s="20"/>
    </row>
    <row r="89" spans="1:4" x14ac:dyDescent="0.25">
      <c r="A89" s="21"/>
      <c r="D89" s="20"/>
    </row>
    <row r="90" spans="1:4" x14ac:dyDescent="0.25">
      <c r="A90" s="21"/>
      <c r="D90" s="20"/>
    </row>
    <row r="91" spans="1:4" x14ac:dyDescent="0.25">
      <c r="A91" s="21"/>
      <c r="D91" s="20"/>
    </row>
    <row r="92" spans="1:4" x14ac:dyDescent="0.25">
      <c r="A92" s="21"/>
      <c r="D92" s="20"/>
    </row>
    <row r="93" spans="1:4" x14ac:dyDescent="0.25">
      <c r="A93" s="21"/>
      <c r="D93" s="20"/>
    </row>
    <row r="94" spans="1:4" x14ac:dyDescent="0.25">
      <c r="A94" s="21"/>
      <c r="D94" s="20"/>
    </row>
    <row r="95" spans="1:4" x14ac:dyDescent="0.25">
      <c r="A95" s="21"/>
      <c r="D95" s="20"/>
    </row>
    <row r="96" spans="1:4" x14ac:dyDescent="0.25">
      <c r="A96" s="21"/>
      <c r="D96" s="20"/>
    </row>
    <row r="97" spans="1:4" x14ac:dyDescent="0.25">
      <c r="A97" s="21"/>
      <c r="D97" s="20"/>
    </row>
    <row r="98" spans="1:4" x14ac:dyDescent="0.25">
      <c r="A98" s="21"/>
      <c r="D98" s="20"/>
    </row>
    <row r="99" spans="1:4" x14ac:dyDescent="0.25">
      <c r="A99" s="21"/>
      <c r="D99" s="20"/>
    </row>
    <row r="100" spans="1:4" x14ac:dyDescent="0.25">
      <c r="A100" s="21"/>
      <c r="D100" s="20"/>
    </row>
    <row r="101" spans="1:4" x14ac:dyDescent="0.25">
      <c r="A101" s="21"/>
      <c r="D101" s="20"/>
    </row>
    <row r="102" spans="1:4" x14ac:dyDescent="0.25">
      <c r="A102" s="21"/>
      <c r="D102" s="20"/>
    </row>
    <row r="103" spans="1:4" x14ac:dyDescent="0.25">
      <c r="A103" s="21"/>
      <c r="D103" s="20"/>
    </row>
    <row r="104" spans="1:4" x14ac:dyDescent="0.25">
      <c r="A104" s="21"/>
      <c r="D104" s="20"/>
    </row>
    <row r="105" spans="1:4" x14ac:dyDescent="0.25">
      <c r="A105" s="21"/>
      <c r="D105" s="20"/>
    </row>
    <row r="106" spans="1:4" x14ac:dyDescent="0.25">
      <c r="A106" s="21"/>
      <c r="D106" s="20"/>
    </row>
    <row r="107" spans="1:4" x14ac:dyDescent="0.25">
      <c r="A107" s="21"/>
      <c r="D107" s="20"/>
    </row>
    <row r="108" spans="1:4" x14ac:dyDescent="0.25">
      <c r="A108" s="21"/>
      <c r="D108" s="20"/>
    </row>
    <row r="109" spans="1:4" x14ac:dyDescent="0.25">
      <c r="A109" s="21"/>
      <c r="D109" s="20"/>
    </row>
    <row r="110" spans="1:4" x14ac:dyDescent="0.25">
      <c r="A110" s="21"/>
      <c r="D110" s="20"/>
    </row>
    <row r="111" spans="1:4" x14ac:dyDescent="0.25">
      <c r="A111" s="21"/>
      <c r="D111" s="20"/>
    </row>
    <row r="112" spans="1:4" x14ac:dyDescent="0.25">
      <c r="A112" s="21"/>
      <c r="D112" s="20"/>
    </row>
    <row r="113" spans="1:4" x14ac:dyDescent="0.25">
      <c r="A113" s="21"/>
      <c r="D113" s="20"/>
    </row>
    <row r="114" spans="1:4" x14ac:dyDescent="0.25">
      <c r="A114" s="21"/>
      <c r="D114" s="20"/>
    </row>
    <row r="115" spans="1:4" x14ac:dyDescent="0.25">
      <c r="A115" s="21"/>
      <c r="D115" s="20"/>
    </row>
    <row r="116" spans="1:4" x14ac:dyDescent="0.25">
      <c r="A116" s="21"/>
      <c r="D116" s="20"/>
    </row>
    <row r="117" spans="1:4" x14ac:dyDescent="0.25">
      <c r="A117" s="21"/>
      <c r="D117" s="20"/>
    </row>
    <row r="118" spans="1:4" x14ac:dyDescent="0.25">
      <c r="A118" s="21"/>
      <c r="D118" s="20"/>
    </row>
    <row r="119" spans="1:4" x14ac:dyDescent="0.25">
      <c r="A119" s="21"/>
      <c r="D119" s="20"/>
    </row>
    <row r="120" spans="1:4" x14ac:dyDescent="0.25">
      <c r="A120" s="21"/>
      <c r="D120" s="20"/>
    </row>
    <row r="121" spans="1:4" x14ac:dyDescent="0.25">
      <c r="A121" s="21"/>
      <c r="D121" s="20"/>
    </row>
    <row r="122" spans="1:4" x14ac:dyDescent="0.25">
      <c r="A122" s="21"/>
      <c r="D122" s="20"/>
    </row>
    <row r="123" spans="1:4" x14ac:dyDescent="0.25">
      <c r="A123" s="21"/>
      <c r="D123" s="20"/>
    </row>
    <row r="124" spans="1:4" x14ac:dyDescent="0.25">
      <c r="A124" s="21"/>
      <c r="D124" s="20"/>
    </row>
    <row r="125" spans="1:4" x14ac:dyDescent="0.25">
      <c r="A125" s="21"/>
      <c r="D125" s="20"/>
    </row>
    <row r="126" spans="1:4" x14ac:dyDescent="0.25">
      <c r="A126" s="21"/>
      <c r="D126" s="20"/>
    </row>
    <row r="127" spans="1:4" x14ac:dyDescent="0.25">
      <c r="A127" s="21"/>
      <c r="D127" s="20"/>
    </row>
    <row r="128" spans="1:4" x14ac:dyDescent="0.25">
      <c r="A128" s="21"/>
      <c r="D128" s="20"/>
    </row>
    <row r="129" spans="1:4" x14ac:dyDescent="0.25">
      <c r="A129" s="21"/>
      <c r="D129" s="20"/>
    </row>
    <row r="130" spans="1:4" x14ac:dyDescent="0.25">
      <c r="A130" s="21"/>
      <c r="D130" s="20"/>
    </row>
    <row r="131" spans="1:4" x14ac:dyDescent="0.25">
      <c r="A131" s="21"/>
      <c r="D131" s="20"/>
    </row>
    <row r="132" spans="1:4" x14ac:dyDescent="0.25">
      <c r="A132" s="21"/>
      <c r="D132" s="20"/>
    </row>
    <row r="133" spans="1:4" x14ac:dyDescent="0.25">
      <c r="A133" s="21"/>
      <c r="D133" s="20"/>
    </row>
    <row r="134" spans="1:4" x14ac:dyDescent="0.25">
      <c r="A134" s="21"/>
      <c r="D134" s="20"/>
    </row>
    <row r="135" spans="1:4" x14ac:dyDescent="0.25">
      <c r="A135" s="21"/>
      <c r="D135" s="20"/>
    </row>
    <row r="136" spans="1:4" x14ac:dyDescent="0.25">
      <c r="A136" s="21"/>
      <c r="D136" s="20"/>
    </row>
    <row r="137" spans="1:4" x14ac:dyDescent="0.25">
      <c r="A137" s="21"/>
      <c r="D137" s="20"/>
    </row>
    <row r="138" spans="1:4" x14ac:dyDescent="0.25">
      <c r="A138" s="21"/>
      <c r="D138" s="20"/>
    </row>
    <row r="139" spans="1:4" x14ac:dyDescent="0.25">
      <c r="A139" s="21"/>
      <c r="D139" s="20"/>
    </row>
    <row r="140" spans="1:4" x14ac:dyDescent="0.25">
      <c r="A140" s="21"/>
      <c r="D140" s="20"/>
    </row>
    <row r="141" spans="1:4" x14ac:dyDescent="0.25">
      <c r="A141" s="21"/>
      <c r="D141" s="20"/>
    </row>
    <row r="142" spans="1:4" x14ac:dyDescent="0.25">
      <c r="A142" s="21"/>
      <c r="D142" s="20"/>
    </row>
    <row r="143" spans="1:4" x14ac:dyDescent="0.25">
      <c r="A143" s="21"/>
      <c r="D143" s="20"/>
    </row>
    <row r="144" spans="1:4" x14ac:dyDescent="0.25">
      <c r="A144" s="21"/>
      <c r="D144" s="20"/>
    </row>
    <row r="145" spans="1:4" x14ac:dyDescent="0.25">
      <c r="A145" s="21"/>
      <c r="D145" s="20"/>
    </row>
    <row r="146" spans="1:4" x14ac:dyDescent="0.25">
      <c r="A146" s="21"/>
      <c r="D146" s="20"/>
    </row>
    <row r="147" spans="1:4" x14ac:dyDescent="0.25">
      <c r="A147" s="21"/>
      <c r="D147" s="20"/>
    </row>
    <row r="148" spans="1:4" x14ac:dyDescent="0.25">
      <c r="A148" s="21"/>
      <c r="D148" s="20"/>
    </row>
    <row r="149" spans="1:4" x14ac:dyDescent="0.25">
      <c r="A149" s="21"/>
      <c r="D149" s="20"/>
    </row>
    <row r="150" spans="1:4" x14ac:dyDescent="0.25">
      <c r="A150" s="21"/>
      <c r="D150" s="20"/>
    </row>
    <row r="151" spans="1:4" x14ac:dyDescent="0.25">
      <c r="A151" s="21"/>
      <c r="D151" s="20"/>
    </row>
    <row r="152" spans="1:4" x14ac:dyDescent="0.25">
      <c r="A152" s="21"/>
      <c r="D152" s="20"/>
    </row>
    <row r="153" spans="1:4" x14ac:dyDescent="0.25">
      <c r="A153" s="21"/>
      <c r="D153" s="20"/>
    </row>
    <row r="154" spans="1:4" x14ac:dyDescent="0.25">
      <c r="A154" s="21"/>
      <c r="D154" s="20"/>
    </row>
    <row r="155" spans="1:4" x14ac:dyDescent="0.25">
      <c r="A155" s="21"/>
      <c r="D155" s="20"/>
    </row>
    <row r="156" spans="1:4" x14ac:dyDescent="0.25">
      <c r="A156" s="21"/>
      <c r="D156" s="20"/>
    </row>
    <row r="157" spans="1:4" x14ac:dyDescent="0.25">
      <c r="A157" s="21"/>
      <c r="D157" s="20"/>
    </row>
    <row r="158" spans="1:4" x14ac:dyDescent="0.25">
      <c r="A158" s="21"/>
      <c r="D158" s="20"/>
    </row>
    <row r="159" spans="1:4" x14ac:dyDescent="0.25">
      <c r="A159" s="21"/>
      <c r="D159" s="20"/>
    </row>
    <row r="160" spans="1:4" x14ac:dyDescent="0.25">
      <c r="A160" s="21"/>
      <c r="D160" s="20"/>
    </row>
    <row r="161" spans="1:4" x14ac:dyDescent="0.25">
      <c r="A161" s="21"/>
      <c r="D161" s="20"/>
    </row>
    <row r="162" spans="1:4" x14ac:dyDescent="0.25">
      <c r="A162" s="21"/>
      <c r="D162" s="20"/>
    </row>
    <row r="163" spans="1:4" x14ac:dyDescent="0.25">
      <c r="A163" s="21"/>
      <c r="D163" s="20"/>
    </row>
    <row r="164" spans="1:4" x14ac:dyDescent="0.25">
      <c r="A164" s="21"/>
      <c r="D164" s="20"/>
    </row>
    <row r="165" spans="1:4" x14ac:dyDescent="0.25">
      <c r="A165" s="21"/>
      <c r="D165" s="20"/>
    </row>
    <row r="166" spans="1:4" x14ac:dyDescent="0.25">
      <c r="A166" s="21"/>
      <c r="D166" s="20"/>
    </row>
    <row r="167" spans="1:4" x14ac:dyDescent="0.25">
      <c r="A167" s="21"/>
      <c r="D167" s="20"/>
    </row>
    <row r="168" spans="1:4" x14ac:dyDescent="0.25">
      <c r="A168" s="21"/>
      <c r="D168" s="20"/>
    </row>
    <row r="169" spans="1:4" x14ac:dyDescent="0.25">
      <c r="A169" s="21"/>
      <c r="D169" s="20"/>
    </row>
    <row r="170" spans="1:4" x14ac:dyDescent="0.25">
      <c r="A170" s="21"/>
      <c r="D170" s="20"/>
    </row>
    <row r="171" spans="1:4" x14ac:dyDescent="0.25">
      <c r="A171" s="21"/>
      <c r="D171" s="20"/>
    </row>
    <row r="172" spans="1:4" x14ac:dyDescent="0.25">
      <c r="A172" s="21"/>
      <c r="D172" s="20"/>
    </row>
    <row r="173" spans="1:4" x14ac:dyDescent="0.25">
      <c r="A173" s="21"/>
      <c r="D173" s="20"/>
    </row>
    <row r="174" spans="1:4" x14ac:dyDescent="0.25">
      <c r="A174" s="21"/>
      <c r="D174" s="20"/>
    </row>
    <row r="175" spans="1:4" x14ac:dyDescent="0.25">
      <c r="A175" s="21"/>
      <c r="D175" s="20"/>
    </row>
    <row r="176" spans="1:4" x14ac:dyDescent="0.25">
      <c r="A176" s="21"/>
      <c r="D176" s="20"/>
    </row>
    <row r="177" spans="1:4" x14ac:dyDescent="0.25">
      <c r="A177" s="21"/>
      <c r="D177" s="20"/>
    </row>
    <row r="178" spans="1:4" x14ac:dyDescent="0.25">
      <c r="A178" s="21"/>
      <c r="D178" s="20"/>
    </row>
    <row r="179" spans="1:4" x14ac:dyDescent="0.25">
      <c r="A179" s="21"/>
      <c r="D179" s="20"/>
    </row>
    <row r="180" spans="1:4" x14ac:dyDescent="0.25">
      <c r="A180" s="21"/>
      <c r="D180" s="20"/>
    </row>
    <row r="181" spans="1:4" x14ac:dyDescent="0.25">
      <c r="A181" s="21"/>
      <c r="D181" s="20"/>
    </row>
    <row r="182" spans="1:4" x14ac:dyDescent="0.25">
      <c r="A182" s="21"/>
      <c r="D182" s="20"/>
    </row>
    <row r="183" spans="1:4" x14ac:dyDescent="0.25">
      <c r="A183" s="21"/>
      <c r="D183" s="20"/>
    </row>
    <row r="184" spans="1:4" x14ac:dyDescent="0.25">
      <c r="A184" s="21"/>
      <c r="D184" s="20"/>
    </row>
    <row r="185" spans="1:4" x14ac:dyDescent="0.25">
      <c r="A185" s="21"/>
      <c r="D185" s="20"/>
    </row>
    <row r="186" spans="1:4" x14ac:dyDescent="0.25">
      <c r="A186" s="21"/>
      <c r="D186" s="20"/>
    </row>
    <row r="187" spans="1:4" ht="15.75" thickBot="1" x14ac:dyDescent="0.3">
      <c r="A187" s="22"/>
      <c r="B187" s="23"/>
      <c r="C187" s="23"/>
      <c r="D187" s="24"/>
    </row>
  </sheetData>
  <mergeCells count="1">
    <mergeCell ref="A2:D2"/>
  </mergeCells>
  <hyperlinks>
    <hyperlink ref="C10" r:id="rId1" xr:uid="{070A35ED-A50E-4AB9-B925-979C46F47220}"/>
    <hyperlink ref="C15" r:id="rId2" xr:uid="{C1AE0AD0-F9A0-4FBA-8FF7-BADABAE2FCD5}"/>
    <hyperlink ref="C21" r:id="rId3" xr:uid="{F26EFBD7-31A5-4BD3-8C2A-AC61C8FAD384}"/>
  </hyperlinks>
  <pageMargins left="0.511811024" right="0.511811024" top="0.78740157499999996" bottom="0.78740157499999996" header="0.31496062000000002" footer="0.31496062000000002"/>
  <pageSetup paperSize="9" orientation="portrait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PLANILHA ORÇAMENTARIA</vt:lpstr>
      <vt:lpstr>CRONOGRAMA FISICO FINANCEIRO</vt:lpstr>
      <vt:lpstr>COMPOSIÇAO DO BDI</vt:lpstr>
      <vt:lpstr>ENCARGOS SOCIAIS</vt:lpstr>
      <vt:lpstr>FORNECEDORES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2022-02-23T12:27:45Z</cp:lastPrinted>
  <dcterms:created xsi:type="dcterms:W3CDTF">2021-02-24T12:01:19Z</dcterms:created>
  <dcterms:modified xsi:type="dcterms:W3CDTF">2022-03-17T14:15:17Z</dcterms:modified>
</cp:coreProperties>
</file>